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Aktivní\SL40017058_Lysa_K_Mirova\Work\Rozpočet\"/>
    </mc:Choice>
  </mc:AlternateContent>
  <bookViews>
    <workbookView xWindow="0" yWindow="0" windowWidth="19200" windowHeight="70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1" i="1" l="1"/>
  <c r="F257" i="1"/>
  <c r="C256" i="1"/>
  <c r="F256" i="1" s="1"/>
  <c r="F258" i="1" s="1"/>
  <c r="C257" i="1"/>
  <c r="F37" i="1"/>
  <c r="B283" i="1" l="1"/>
  <c r="E280" i="1"/>
  <c r="D281" i="1"/>
  <c r="C310" i="1" s="1"/>
  <c r="D280" i="1"/>
  <c r="F280" i="1" s="1"/>
  <c r="D279" i="1"/>
  <c r="D278" i="1"/>
  <c r="E278" i="1" s="1"/>
  <c r="C280" i="1"/>
  <c r="B280" i="1"/>
  <c r="C279" i="1"/>
  <c r="B279" i="1"/>
  <c r="B281" i="1" s="1"/>
  <c r="C278" i="1"/>
  <c r="C281" i="1" s="1"/>
  <c r="C295" i="1" s="1"/>
  <c r="B278" i="1"/>
  <c r="F278" i="1" l="1"/>
  <c r="E279" i="1"/>
  <c r="F279" i="1" s="1"/>
  <c r="J292" i="1"/>
  <c r="F252" i="1"/>
  <c r="F122" i="1"/>
  <c r="F33" i="1"/>
  <c r="C292" i="1" s="1"/>
  <c r="F281" i="1" l="1"/>
  <c r="E281" i="1"/>
  <c r="C314" i="1" s="1"/>
  <c r="G236" i="1"/>
  <c r="G235" i="1"/>
  <c r="G237" i="1" s="1"/>
  <c r="G231" i="1"/>
  <c r="G230" i="1"/>
  <c r="G229" i="1"/>
  <c r="G228" i="1"/>
  <c r="G224" i="1"/>
  <c r="G220" i="1"/>
  <c r="G108" i="1"/>
  <c r="G58" i="1"/>
  <c r="F28" i="1"/>
  <c r="F27" i="1"/>
  <c r="G232" i="1" l="1"/>
  <c r="G238" i="1" s="1"/>
  <c r="C303" i="1" s="1"/>
  <c r="F243" i="1"/>
  <c r="F245" i="1"/>
  <c r="F244" i="1"/>
  <c r="K245" i="1"/>
  <c r="F240" i="1"/>
  <c r="F242" i="1"/>
  <c r="F241" i="1"/>
  <c r="J307" i="1"/>
  <c r="I307" i="1"/>
  <c r="F272" i="1"/>
  <c r="F268" i="1"/>
  <c r="F269" i="1"/>
  <c r="F270" i="1"/>
  <c r="F267" i="1"/>
  <c r="G264" i="1"/>
  <c r="G263" i="1"/>
  <c r="G262" i="1"/>
  <c r="G261" i="1"/>
  <c r="F197" i="1"/>
  <c r="F196" i="1"/>
  <c r="F195" i="1"/>
  <c r="F191" i="1"/>
  <c r="F192" i="1"/>
  <c r="F193" i="1"/>
  <c r="F194" i="1"/>
  <c r="F190" i="1"/>
  <c r="F186" i="1"/>
  <c r="F187" i="1"/>
  <c r="F185" i="1"/>
  <c r="F184" i="1"/>
  <c r="F183" i="1"/>
  <c r="F182" i="1"/>
  <c r="F227" i="1"/>
  <c r="F221" i="1"/>
  <c r="D233" i="1"/>
  <c r="D234" i="1" s="1"/>
  <c r="F234" i="1" s="1"/>
  <c r="F217" i="1"/>
  <c r="F215" i="1"/>
  <c r="F226" i="1"/>
  <c r="F223" i="1"/>
  <c r="F219" i="1"/>
  <c r="F218" i="1"/>
  <c r="F216" i="1"/>
  <c r="F212" i="1"/>
  <c r="F209" i="1"/>
  <c r="F210" i="1"/>
  <c r="F208" i="1"/>
  <c r="F207" i="1"/>
  <c r="F206" i="1"/>
  <c r="F205" i="1"/>
  <c r="F202" i="1"/>
  <c r="F204" i="1"/>
  <c r="F201" i="1"/>
  <c r="F203" i="1"/>
  <c r="F200" i="1"/>
  <c r="F179" i="1"/>
  <c r="F178" i="1"/>
  <c r="F177" i="1"/>
  <c r="F176" i="1"/>
  <c r="F175" i="1"/>
  <c r="F174" i="1"/>
  <c r="F173" i="1"/>
  <c r="F172" i="1"/>
  <c r="C141" i="1"/>
  <c r="F141" i="1" s="1"/>
  <c r="F140" i="1"/>
  <c r="F137" i="1"/>
  <c r="F163" i="1"/>
  <c r="F161" i="1"/>
  <c r="F160" i="1"/>
  <c r="F159" i="1"/>
  <c r="F158" i="1"/>
  <c r="F157" i="1"/>
  <c r="F154" i="1"/>
  <c r="F153" i="1"/>
  <c r="F113" i="1"/>
  <c r="F120" i="1"/>
  <c r="F114" i="1"/>
  <c r="F112" i="1"/>
  <c r="F87" i="1"/>
  <c r="F85" i="1"/>
  <c r="F88" i="1" s="1"/>
  <c r="C156" i="1"/>
  <c r="F156" i="1" s="1"/>
  <c r="C155" i="1"/>
  <c r="F155" i="1" s="1"/>
  <c r="F152" i="1"/>
  <c r="F151" i="1"/>
  <c r="F150" i="1"/>
  <c r="F149" i="1"/>
  <c r="F148" i="1"/>
  <c r="F146" i="1"/>
  <c r="F145" i="1"/>
  <c r="F144" i="1"/>
  <c r="C147" i="1"/>
  <c r="F147" i="1" s="1"/>
  <c r="I134" i="1"/>
  <c r="J126" i="1"/>
  <c r="C289" i="1" s="1"/>
  <c r="F129" i="1"/>
  <c r="C290" i="1" s="1"/>
  <c r="F111" i="1"/>
  <c r="F110" i="1"/>
  <c r="F117" i="1" s="1"/>
  <c r="F107" i="1"/>
  <c r="F109" i="1"/>
  <c r="F95" i="1"/>
  <c r="G92" i="1"/>
  <c r="C81" i="1"/>
  <c r="F81" i="1" s="1"/>
  <c r="F83" i="1"/>
  <c r="I10" i="1"/>
  <c r="I126" i="1"/>
  <c r="F126" i="1"/>
  <c r="C288" i="1" s="1"/>
  <c r="F56" i="1"/>
  <c r="F57" i="1"/>
  <c r="F59" i="1"/>
  <c r="F60" i="1"/>
  <c r="F55" i="1"/>
  <c r="H133" i="1"/>
  <c r="G133" i="1" s="1"/>
  <c r="C311" i="1" s="1"/>
  <c r="F106" i="1"/>
  <c r="F80" i="1"/>
  <c r="F79" i="1"/>
  <c r="F78" i="1"/>
  <c r="I72" i="1"/>
  <c r="H72" i="1"/>
  <c r="F68" i="1"/>
  <c r="C299" i="1" s="1"/>
  <c r="F51" i="1"/>
  <c r="F50" i="1"/>
  <c r="F49" i="1"/>
  <c r="F47" i="1"/>
  <c r="G41" i="1"/>
  <c r="G42" i="1" s="1"/>
  <c r="I41" i="1"/>
  <c r="H41" i="1"/>
  <c r="F31" i="1"/>
  <c r="F10" i="1"/>
  <c r="F32" i="1" s="1"/>
  <c r="F12" i="1"/>
  <c r="F8" i="1"/>
  <c r="F7" i="1"/>
  <c r="F6" i="1"/>
  <c r="C9" i="1"/>
  <c r="F9" i="1" s="1"/>
  <c r="F188" i="1" l="1"/>
  <c r="F249" i="1" s="1"/>
  <c r="C294" i="1" s="1"/>
  <c r="G265" i="1"/>
  <c r="F273" i="1"/>
  <c r="F233" i="1"/>
  <c r="F238" i="1" s="1"/>
  <c r="F246" i="1"/>
  <c r="C317" i="1" s="1"/>
  <c r="F198" i="1"/>
  <c r="F180" i="1"/>
  <c r="C298" i="1" s="1"/>
  <c r="F63" i="1"/>
  <c r="F118" i="1"/>
  <c r="C138" i="1"/>
  <c r="F138" i="1" s="1"/>
  <c r="F139" i="1" s="1"/>
  <c r="C286" i="1" s="1"/>
  <c r="F119" i="1"/>
  <c r="C211" i="1"/>
  <c r="F211" i="1" s="1"/>
  <c r="F213" i="1" s="1"/>
  <c r="G134" i="1"/>
  <c r="C313" i="1" s="1"/>
  <c r="F89" i="1"/>
  <c r="F115" i="1"/>
  <c r="C162" i="1"/>
  <c r="F162" i="1" s="1"/>
  <c r="F164" i="1" s="1"/>
  <c r="F142" i="1"/>
  <c r="C287" i="1" s="1"/>
  <c r="F52" i="1"/>
  <c r="F11" i="1"/>
  <c r="F61" i="1"/>
  <c r="G72" i="1"/>
  <c r="J41" i="1"/>
  <c r="F121" i="1" l="1"/>
  <c r="C293" i="1" s="1"/>
  <c r="C302" i="1"/>
  <c r="C304" i="1" s="1"/>
  <c r="C318" i="1"/>
  <c r="C300" i="1"/>
  <c r="F275" i="1"/>
  <c r="C296" i="1"/>
  <c r="G73" i="1"/>
  <c r="C309" i="1"/>
  <c r="F248" i="1"/>
  <c r="C312" i="1" l="1"/>
  <c r="C315" i="1" s="1"/>
</calcChain>
</file>

<file path=xl/sharedStrings.xml><?xml version="1.0" encoding="utf-8"?>
<sst xmlns="http://schemas.openxmlformats.org/spreadsheetml/2006/main" count="607" uniqueCount="281">
  <si>
    <t>Armaturní domek</t>
  </si>
  <si>
    <t>Dno</t>
  </si>
  <si>
    <t>m3</t>
  </si>
  <si>
    <t>Stěny</t>
  </si>
  <si>
    <t>Strop</t>
  </si>
  <si>
    <t>Prostupy</t>
  </si>
  <si>
    <t>Beton</t>
  </si>
  <si>
    <t>Podkladní beton</t>
  </si>
  <si>
    <t>ks</t>
  </si>
  <si>
    <t>Plochy</t>
  </si>
  <si>
    <t>m2</t>
  </si>
  <si>
    <t>Stěny vnější</t>
  </si>
  <si>
    <t>a</t>
  </si>
  <si>
    <t>b</t>
  </si>
  <si>
    <t>h</t>
  </si>
  <si>
    <t>V</t>
  </si>
  <si>
    <t>m</t>
  </si>
  <si>
    <t>Beton spádový</t>
  </si>
  <si>
    <t>Beton podkladní</t>
  </si>
  <si>
    <t>Otvor</t>
  </si>
  <si>
    <t>A</t>
  </si>
  <si>
    <t>Štěrk podkladní</t>
  </si>
  <si>
    <t>Štěrk podkladní (přesah 500 mm)</t>
  </si>
  <si>
    <t>Beton podkladní (přesah 500 mm)</t>
  </si>
  <si>
    <t>Sklon</t>
  </si>
  <si>
    <t xml:space="preserve"> 1 : 1</t>
  </si>
  <si>
    <t>Objem</t>
  </si>
  <si>
    <t>Vrch</t>
  </si>
  <si>
    <t>(Dno+Vrch)/2</t>
  </si>
  <si>
    <t>C35/45 - XD3,XF4,XA3</t>
  </si>
  <si>
    <t>Nátěr NAVOM 2xšedý</t>
  </si>
  <si>
    <t>C25/30</t>
  </si>
  <si>
    <t>C12/15, X0</t>
  </si>
  <si>
    <t>-</t>
  </si>
  <si>
    <t>Kanál instalační pro ventilační potrubí</t>
  </si>
  <si>
    <t>Beton podkladní (přesah 100 mm)</t>
  </si>
  <si>
    <t>Štěrk podkladní (přesah 100 mm napříč)</t>
  </si>
  <si>
    <t>Stěny 2x</t>
  </si>
  <si>
    <t>Deska stropní</t>
  </si>
  <si>
    <t>Dilatace</t>
  </si>
  <si>
    <t>Spára dilatační L1+2xL2</t>
  </si>
  <si>
    <t>Beton a štěrk podkladní</t>
  </si>
  <si>
    <t>L</t>
  </si>
  <si>
    <t>L1</t>
  </si>
  <si>
    <t>L2</t>
  </si>
  <si>
    <t>Objem výkopku</t>
  </si>
  <si>
    <t>svahované jen v příčném směru</t>
  </si>
  <si>
    <t>Čerpací jímka</t>
  </si>
  <si>
    <t>a1</t>
  </si>
  <si>
    <t>b1</t>
  </si>
  <si>
    <t>Nátěry</t>
  </si>
  <si>
    <t>Stěny vnitřní</t>
  </si>
  <si>
    <t>Deska stropní vrchní líc</t>
  </si>
  <si>
    <t>Deska stropní spodní líc</t>
  </si>
  <si>
    <t>Pažení</t>
  </si>
  <si>
    <t>Terén</t>
  </si>
  <si>
    <t>m n.m.</t>
  </si>
  <si>
    <t>Obvod</t>
  </si>
  <si>
    <t>Štětovnice</t>
  </si>
  <si>
    <t>Deska stropní líc spodní</t>
  </si>
  <si>
    <t>Deska stropní líc vrchní</t>
  </si>
  <si>
    <t>16/32</t>
  </si>
  <si>
    <t>Štěrk podkladní (přesah po pažení)</t>
  </si>
  <si>
    <t>Beton podkladní (přesah po pažení)</t>
  </si>
  <si>
    <t>Počet</t>
  </si>
  <si>
    <t>a2</t>
  </si>
  <si>
    <t>A1</t>
  </si>
  <si>
    <t xml:space="preserve"> </t>
  </si>
  <si>
    <t>Pozor změna - spád 1 : 1 jen v příčném směru, od žebříku pouze 2 %</t>
  </si>
  <si>
    <t>Plech - výztuha pod čerpadly</t>
  </si>
  <si>
    <t>h1</t>
  </si>
  <si>
    <t>h2</t>
  </si>
  <si>
    <t>b2</t>
  </si>
  <si>
    <t>2 trojůhelníky</t>
  </si>
  <si>
    <t>Stěna pod nátokem</t>
  </si>
  <si>
    <t>Rám obvodový</t>
  </si>
  <si>
    <t>2 ks/I30</t>
  </si>
  <si>
    <t>Štětovnice b 400 m</t>
  </si>
  <si>
    <t>ve třetinách výšky</t>
  </si>
  <si>
    <t>Kanál hrubého předčištění</t>
  </si>
  <si>
    <t>Zásyp zpětný</t>
  </si>
  <si>
    <t>Výkopy a zásypy</t>
  </si>
  <si>
    <t>Dno česle</t>
  </si>
  <si>
    <t>Dno lapák štěrku</t>
  </si>
  <si>
    <t>Dno nátok</t>
  </si>
  <si>
    <t>Dno odlehčení</t>
  </si>
  <si>
    <t>Delta</t>
  </si>
  <si>
    <t>Stěny česle vnější</t>
  </si>
  <si>
    <t>Stěna česle vnitřní</t>
  </si>
  <si>
    <t>Stěna česle čelní</t>
  </si>
  <si>
    <t>D1</t>
  </si>
  <si>
    <t>D2</t>
  </si>
  <si>
    <t>Stěna lapák vnější</t>
  </si>
  <si>
    <t>Stěna lapák k česlím</t>
  </si>
  <si>
    <t>Stěna lapák k nátoku</t>
  </si>
  <si>
    <t>Stěna česle sklopné k nátoku</t>
  </si>
  <si>
    <t>Stěna ODL vnější</t>
  </si>
  <si>
    <t>Stěna ODL vnitřní</t>
  </si>
  <si>
    <t>Kapsa dno</t>
  </si>
  <si>
    <t>Kapsa stěny</t>
  </si>
  <si>
    <t>Kapsa strop</t>
  </si>
  <si>
    <t>Vložka šachtová</t>
  </si>
  <si>
    <t>DN600</t>
  </si>
  <si>
    <t>Potrubí výtlačné a odpadní</t>
  </si>
  <si>
    <t>Potrubí ventilační</t>
  </si>
  <si>
    <t>Průchodky NN a ASŘ</t>
  </si>
  <si>
    <t>DN100</t>
  </si>
  <si>
    <t>jako dno</t>
  </si>
  <si>
    <t>v trojúhelníka</t>
  </si>
  <si>
    <t>L odvěsen</t>
  </si>
  <si>
    <t>Kapsa stěny vnější</t>
  </si>
  <si>
    <t>Kapsa stěny vnitřní</t>
  </si>
  <si>
    <t>Vložka šachotvá</t>
  </si>
  <si>
    <t>DN 600 bezp. Přeliv</t>
  </si>
  <si>
    <t>Součástí rozpočtu kanalizace stoka "O"</t>
  </si>
  <si>
    <t>D</t>
  </si>
  <si>
    <t>Potrubí čerpadel a odpadu</t>
  </si>
  <si>
    <t>stěny</t>
  </si>
  <si>
    <t>2 ks strop</t>
  </si>
  <si>
    <t>1 ks střecha</t>
  </si>
  <si>
    <t>Potrubí výtlačné</t>
  </si>
  <si>
    <t>Přípojka vodovodní veřejná</t>
  </si>
  <si>
    <t>Přípojka vodovodní studna užitková</t>
  </si>
  <si>
    <t>Chráničky NN a ASŘ k čerpadlům</t>
  </si>
  <si>
    <t>Prostup NN od elektroměru</t>
  </si>
  <si>
    <t>Prostup ventil fasádní nezámrzný</t>
  </si>
  <si>
    <t>Potrubí ventilace</t>
  </si>
  <si>
    <t>Odpad z vodárny na užitkovou vodu</t>
  </si>
  <si>
    <t>Odpad umyvadlo</t>
  </si>
  <si>
    <t>Bednění</t>
  </si>
  <si>
    <t>Stěny vnitřní a vnější</t>
  </si>
  <si>
    <t>Stropní desky vyráběny mimo a přeneseny na místo</t>
  </si>
  <si>
    <t>Kapsa mezistrop</t>
  </si>
  <si>
    <t>Stěna nad přelivnou hranou</t>
  </si>
  <si>
    <t>Podesta ruční česle</t>
  </si>
  <si>
    <t>Podesta hradítko ruční česle</t>
  </si>
  <si>
    <t>Podesta hradítko strojní česle</t>
  </si>
  <si>
    <t>Strop nátoku</t>
  </si>
  <si>
    <t>Strop odlehčení</t>
  </si>
  <si>
    <t>Zídka nakládání kolečka</t>
  </si>
  <si>
    <t>předčištění</t>
  </si>
  <si>
    <t>odlehčení</t>
  </si>
  <si>
    <t>DN1000</t>
  </si>
  <si>
    <t>DN800</t>
  </si>
  <si>
    <t>Součást stoky P</t>
  </si>
  <si>
    <t>Součást stoky O</t>
  </si>
  <si>
    <t>Nabetonávky a spádový beton</t>
  </si>
  <si>
    <t>Kanál ručních česlí</t>
  </si>
  <si>
    <t>Kanál automatických česlí</t>
  </si>
  <si>
    <t>mezera pro česle kompenzuje objem spádu dna</t>
  </si>
  <si>
    <t xml:space="preserve"> - spádový beton</t>
  </si>
  <si>
    <t>Nabetonávky lapač štěrku</t>
  </si>
  <si>
    <t>Nabetonávky uklidnění odlehčení</t>
  </si>
  <si>
    <t xml:space="preserve"> - práh kvádr</t>
  </si>
  <si>
    <t xml:space="preserve"> - práh po vodě komolý hranol 1/2</t>
  </si>
  <si>
    <t>Nabetonávka pod nátokem</t>
  </si>
  <si>
    <t>Vnitřní stěny</t>
  </si>
  <si>
    <t xml:space="preserve"> - strojní česle</t>
  </si>
  <si>
    <t xml:space="preserve"> - ruční česle</t>
  </si>
  <si>
    <t xml:space="preserve"> - lapák štěrku</t>
  </si>
  <si>
    <t xml:space="preserve"> - nátok</t>
  </si>
  <si>
    <t xml:space="preserve"> - odlehčení</t>
  </si>
  <si>
    <t>2 ks</t>
  </si>
  <si>
    <t>odtok</t>
  </si>
  <si>
    <t>nátok</t>
  </si>
  <si>
    <t>hradítka</t>
  </si>
  <si>
    <t>od přítoku</t>
  </si>
  <si>
    <t xml:space="preserve"> - stěny 2 ks</t>
  </si>
  <si>
    <t>severní stěna</t>
  </si>
  <si>
    <t>jižní stěna</t>
  </si>
  <si>
    <t xml:space="preserve"> - odtok</t>
  </si>
  <si>
    <t>Vnější stěny</t>
  </si>
  <si>
    <t>1 ks</t>
  </si>
  <si>
    <t>odskok</t>
  </si>
  <si>
    <t>odskok pod hradítky</t>
  </si>
  <si>
    <t>nebude přístupný pro nátěr</t>
  </si>
  <si>
    <t>oskok k odlehčení</t>
  </si>
  <si>
    <t>Bednění stěn</t>
  </si>
  <si>
    <t>Strop zevnitř</t>
  </si>
  <si>
    <t>Podesta ručních česlí</t>
  </si>
  <si>
    <t>Pedesta hradítka ručních česlí</t>
  </si>
  <si>
    <t>Podesta hradítka strojních česlí</t>
  </si>
  <si>
    <t>Strop lapák štěrku</t>
  </si>
  <si>
    <t>Stropní deska vrchní líc</t>
  </si>
  <si>
    <t>podélný vrch stěn česle</t>
  </si>
  <si>
    <t>Příčný vrch stěn česle</t>
  </si>
  <si>
    <t>Podesta hradítko stroní česle</t>
  </si>
  <si>
    <t>Bednění stropu</t>
  </si>
  <si>
    <t xml:space="preserve"> - pozor, náročné bednění, nepravidelný tvar</t>
  </si>
  <si>
    <t xml:space="preserve"> - je možné vnější bednění v místě zúžení kanálu čslí udělat na stejnou vnější šířku</t>
  </si>
  <si>
    <t>Kanál česlí</t>
  </si>
  <si>
    <t xml:space="preserve"> 1:1</t>
  </si>
  <si>
    <t>Lapák štěrku</t>
  </si>
  <si>
    <t>Nátok</t>
  </si>
  <si>
    <t>Odlehčení</t>
  </si>
  <si>
    <t>jen boky</t>
  </si>
  <si>
    <t>boky a jedno čelo</t>
  </si>
  <si>
    <t>jeden bok a jedno čelo</t>
  </si>
  <si>
    <t>Zpětný zásyp</t>
  </si>
  <si>
    <t>Objem kanálu česlí</t>
  </si>
  <si>
    <t>Objem lapače štěrku</t>
  </si>
  <si>
    <t>Objem nátok</t>
  </si>
  <si>
    <t>Objem odlehčení</t>
  </si>
  <si>
    <t>Celkem objem</t>
  </si>
  <si>
    <t>včetně objemu podkladních vrstev</t>
  </si>
  <si>
    <t>Potrubí mezi kanálem a ČJ</t>
  </si>
  <si>
    <t>l</t>
  </si>
  <si>
    <t>Celkem zpětný zásyp</t>
  </si>
  <si>
    <t>Podkladní štěrk</t>
  </si>
  <si>
    <t>Nátěry vnitřní</t>
  </si>
  <si>
    <t>Rekapitulace</t>
  </si>
  <si>
    <t>Bednění stropních desek kanálu ventilace - extra</t>
  </si>
  <si>
    <t>Spára dilatační</t>
  </si>
  <si>
    <t>Výkopy svahované</t>
  </si>
  <si>
    <t>Výkopy ve štětovnicové jámě</t>
  </si>
  <si>
    <t>Zásypy zpětné jámy svahované</t>
  </si>
  <si>
    <t>Zásypy zpětné jáma se štětovnicemi</t>
  </si>
  <si>
    <t>Těžba drapákem - hlubší vrstvy</t>
  </si>
  <si>
    <t>Zpětný zásyp jámy se štětovnicemi</t>
  </si>
  <si>
    <t>Beton spádový a nabetonávky vnitřní</t>
  </si>
  <si>
    <t>Vložky šachtové</t>
  </si>
  <si>
    <t>DN 600</t>
  </si>
  <si>
    <t>4 ks</t>
  </si>
  <si>
    <t>Mezi kanálem a ČJ</t>
  </si>
  <si>
    <t>Chráničky mezi AD a ČJ - do výkazu Sláva</t>
  </si>
  <si>
    <t>Prostupy - viz detailní rozpis u jednotlivých objektů</t>
  </si>
  <si>
    <t>Rozměry</t>
  </si>
  <si>
    <t>Štětovnice 400 mm, l 12,7 m</t>
  </si>
  <si>
    <t>Pancéřování dna</t>
  </si>
  <si>
    <t>dno</t>
  </si>
  <si>
    <t>boky</t>
  </si>
  <si>
    <t>čela</t>
  </si>
  <si>
    <t>Pancéřování dna - lapák štěrku</t>
  </si>
  <si>
    <t>Pancéřování dna - odlehčení</t>
  </si>
  <si>
    <t>čelo</t>
  </si>
  <si>
    <t>nerez plech  5 mm, pracny dle TZ</t>
  </si>
  <si>
    <t>Beton kosntrukční</t>
  </si>
  <si>
    <t>systémové, složitý tvar</t>
  </si>
  <si>
    <t>C25/30 - XC4, XD3, XA3</t>
  </si>
  <si>
    <t>3  xNAVOM 2PUP</t>
  </si>
  <si>
    <t>ALP, hydroizolační aasfaltový pás a geotextilie</t>
  </si>
  <si>
    <t>Výztuž</t>
  </si>
  <si>
    <t>B500B</t>
  </si>
  <si>
    <t>t</t>
  </si>
  <si>
    <t>z výkresu výztuže</t>
  </si>
  <si>
    <t>Nátěry vnější nad terénem</t>
  </si>
  <si>
    <t>Úpravy vnější pod terénem</t>
  </si>
  <si>
    <t>Stěny vnější nad terénem</t>
  </si>
  <si>
    <t xml:space="preserve"> - nad terénem</t>
  </si>
  <si>
    <t>Kanál česlí nad terénem</t>
  </si>
  <si>
    <t>Lapák štěrku nad terénem</t>
  </si>
  <si>
    <t>odskok 0,15</t>
  </si>
  <si>
    <t>Nátok nad terénem</t>
  </si>
  <si>
    <t>Odlehčení nad terénem</t>
  </si>
  <si>
    <t>Nátěry vnější celkem</t>
  </si>
  <si>
    <t>3x čerpadla ČJ, lapák štěrku, odlehčení</t>
  </si>
  <si>
    <t>I 30 pro vnitřní vyztužení, ve třetinách</t>
  </si>
  <si>
    <t>Bednění desek kanálu ventilace</t>
  </si>
  <si>
    <t>Bednění dno</t>
  </si>
  <si>
    <t>Bednění dna</t>
  </si>
  <si>
    <t>Drobné objekty</t>
  </si>
  <si>
    <t>Základ pod schody 0,3x3,425*1,05</t>
  </si>
  <si>
    <t>Základ pro drapák štěrku 1,2*1,2*1,05</t>
  </si>
  <si>
    <t>Zídka opěrná ruční česle 4,1*0,2*0,9</t>
  </si>
  <si>
    <t xml:space="preserve">Výkop </t>
  </si>
  <si>
    <t>Studna</t>
  </si>
  <si>
    <t>Odvoz</t>
  </si>
  <si>
    <t>Zásyp</t>
  </si>
  <si>
    <t>Objem betonu</t>
  </si>
  <si>
    <t>Výkopy drobné objekty</t>
  </si>
  <si>
    <t>Pažení štětovnicemi</t>
  </si>
  <si>
    <t>Bednění drobné objekty</t>
  </si>
  <si>
    <t>Zásypy drobné objekty</t>
  </si>
  <si>
    <t>Výkopek přebytečný</t>
  </si>
  <si>
    <t>Beton spádový studňová šachta  1,2*2,4*0,075</t>
  </si>
  <si>
    <t>Plocha</t>
  </si>
  <si>
    <t>Obvod 4,7+12,5+4+6,5+4,4+6,5+5,1-2*5,5</t>
  </si>
  <si>
    <t>Hlubší část 2*5,5 m</t>
  </si>
  <si>
    <t>Celkem</t>
  </si>
  <si>
    <t>Pažení stěn  2,265-3,2 m hl.</t>
  </si>
  <si>
    <t>Změna 180829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</si>
</sst>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20" fontId="0" fillId="0" borderId="0" xfId="0" applyNumberFormat="1"/>
    <xf numFmtId="164" fontId="2" fillId="0" borderId="0" xfId="0" applyNumberFormat="1" applyFont="1" applyAlignment="1">
      <alignment horizontal="right"/>
    </xf>
    <xf numFmtId="164" fontId="0" fillId="0" borderId="0" xfId="0" applyNumberFormat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Font="1" applyBorder="1"/>
    <xf numFmtId="164" fontId="2" fillId="0" borderId="0" xfId="0" applyNumberFormat="1" applyFont="1" applyBorder="1" applyAlignment="1">
      <alignment horizontal="right"/>
    </xf>
    <xf numFmtId="0" fontId="2" fillId="0" borderId="4" xfId="0" applyFont="1" applyBorder="1"/>
    <xf numFmtId="0" fontId="0" fillId="0" borderId="6" xfId="0" applyBorder="1"/>
    <xf numFmtId="0" fontId="0" fillId="0" borderId="7" xfId="0" applyBorder="1"/>
    <xf numFmtId="20" fontId="0" fillId="0" borderId="7" xfId="0" applyNumberFormat="1" applyBorder="1"/>
    <xf numFmtId="164" fontId="2" fillId="0" borderId="7" xfId="0" applyNumberFormat="1" applyFont="1" applyBorder="1" applyAlignment="1">
      <alignment horizontal="right"/>
    </xf>
    <xf numFmtId="0" fontId="0" fillId="0" borderId="8" xfId="0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Border="1"/>
    <xf numFmtId="164" fontId="2" fillId="0" borderId="0" xfId="0" applyNumberFormat="1" applyFont="1" applyBorder="1"/>
    <xf numFmtId="164" fontId="2" fillId="0" borderId="9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5" xfId="0" applyFont="1" applyBorder="1"/>
    <xf numFmtId="0" fontId="0" fillId="0" borderId="0" xfId="0" applyFont="1" applyFill="1" applyBorder="1"/>
    <xf numFmtId="164" fontId="0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center"/>
    </xf>
    <xf numFmtId="0" fontId="0" fillId="0" borderId="4" xfId="0" applyFill="1" applyBorder="1"/>
    <xf numFmtId="20" fontId="0" fillId="0" borderId="0" xfId="0" applyNumberFormat="1" applyBorder="1"/>
    <xf numFmtId="164" fontId="0" fillId="0" borderId="5" xfId="0" applyNumberFormat="1" applyBorder="1"/>
    <xf numFmtId="0" fontId="0" fillId="0" borderId="6" xfId="0" applyFill="1" applyBorder="1"/>
    <xf numFmtId="2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5" fillId="0" borderId="0" xfId="0" applyFont="1"/>
    <xf numFmtId="164" fontId="2" fillId="0" borderId="9" xfId="0" applyNumberFormat="1" applyFont="1" applyBorder="1"/>
    <xf numFmtId="164" fontId="2" fillId="0" borderId="10" xfId="0" applyNumberFormat="1" applyFont="1" applyBorder="1"/>
    <xf numFmtId="164" fontId="2" fillId="0" borderId="11" xfId="0" applyNumberFormat="1" applyFont="1" applyBorder="1"/>
    <xf numFmtId="164" fontId="2" fillId="0" borderId="10" xfId="0" applyNumberFormat="1" applyFont="1" applyFill="1" applyBorder="1" applyAlignment="1">
      <alignment horizontal="right"/>
    </xf>
    <xf numFmtId="0" fontId="0" fillId="0" borderId="10" xfId="0" applyBorder="1"/>
    <xf numFmtId="164" fontId="2" fillId="0" borderId="11" xfId="0" applyNumberFormat="1" applyFont="1" applyFill="1" applyBorder="1" applyAlignment="1">
      <alignment horizontal="right"/>
    </xf>
    <xf numFmtId="164" fontId="2" fillId="0" borderId="0" xfId="0" applyNumberFormat="1" applyFont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9" xfId="0" applyNumberFormat="1" applyFont="1" applyFill="1" applyBorder="1" applyAlignment="1">
      <alignment horizontal="right"/>
    </xf>
    <xf numFmtId="164" fontId="0" fillId="0" borderId="10" xfId="0" applyNumberFormat="1" applyFont="1" applyFill="1" applyBorder="1" applyAlignment="1">
      <alignment horizontal="right"/>
    </xf>
    <xf numFmtId="164" fontId="0" fillId="0" borderId="11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/>
    <xf numFmtId="0" fontId="2" fillId="0" borderId="7" xfId="0" applyFont="1" applyBorder="1"/>
    <xf numFmtId="0" fontId="0" fillId="0" borderId="1" xfId="0" applyFont="1" applyBorder="1"/>
    <xf numFmtId="164" fontId="2" fillId="0" borderId="7" xfId="0" applyNumberFormat="1" applyFont="1" applyBorder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164" fontId="5" fillId="0" borderId="10" xfId="0" applyNumberFormat="1" applyFont="1" applyBorder="1" applyAlignment="1">
      <alignment horizontal="right"/>
    </xf>
    <xf numFmtId="0" fontId="1" fillId="0" borderId="0" xfId="0" applyFont="1" applyBorder="1"/>
    <xf numFmtId="0" fontId="5" fillId="0" borderId="0" xfId="0" applyFont="1" applyBorder="1"/>
    <xf numFmtId="164" fontId="5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0" xfId="0" applyFont="1" applyFill="1" applyBorder="1"/>
    <xf numFmtId="0" fontId="2" fillId="3" borderId="4" xfId="0" applyFont="1" applyFill="1" applyBorder="1"/>
    <xf numFmtId="0" fontId="0" fillId="2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325"/>
  <sheetViews>
    <sheetView tabSelected="1" topLeftCell="A316" workbookViewId="0">
      <selection activeCell="A330" sqref="A330"/>
    </sheetView>
  </sheetViews>
  <sheetFormatPr defaultRowHeight="14.5" x14ac:dyDescent="0.35"/>
  <cols>
    <col min="1" max="1" width="39.1796875" customWidth="1"/>
    <col min="2" max="2" width="27.453125" customWidth="1"/>
    <col min="7" max="7" width="10.81640625" bestFit="1" customWidth="1"/>
    <col min="10" max="10" width="15.81640625" customWidth="1"/>
  </cols>
  <sheetData>
    <row r="3" spans="1:10" x14ac:dyDescent="0.35">
      <c r="A3" s="1" t="s">
        <v>0</v>
      </c>
      <c r="B3" s="1"/>
      <c r="G3" t="s">
        <v>19</v>
      </c>
    </row>
    <row r="4" spans="1:10" x14ac:dyDescent="0.35">
      <c r="A4" s="5" t="s">
        <v>41</v>
      </c>
      <c r="B4" s="19"/>
      <c r="C4" s="20" t="s">
        <v>12</v>
      </c>
      <c r="D4" s="20" t="s">
        <v>13</v>
      </c>
      <c r="E4" s="20" t="s">
        <v>14</v>
      </c>
      <c r="F4" s="20" t="s">
        <v>15</v>
      </c>
      <c r="G4" s="20" t="s">
        <v>48</v>
      </c>
      <c r="H4" s="20" t="s">
        <v>49</v>
      </c>
      <c r="I4" s="6" t="s">
        <v>66</v>
      </c>
      <c r="J4" s="7"/>
    </row>
    <row r="5" spans="1:10" x14ac:dyDescent="0.35">
      <c r="A5" s="13"/>
      <c r="B5" s="21"/>
      <c r="C5" s="28" t="s">
        <v>16</v>
      </c>
      <c r="D5" s="28" t="s">
        <v>16</v>
      </c>
      <c r="E5" s="28" t="s">
        <v>16</v>
      </c>
      <c r="F5" s="28" t="s">
        <v>2</v>
      </c>
      <c r="G5" s="28" t="s">
        <v>16</v>
      </c>
      <c r="H5" s="28" t="s">
        <v>16</v>
      </c>
      <c r="I5" s="38" t="s">
        <v>10</v>
      </c>
      <c r="J5" s="10"/>
    </row>
    <row r="6" spans="1:10" x14ac:dyDescent="0.35">
      <c r="A6" s="11" t="s">
        <v>22</v>
      </c>
      <c r="B6" s="23" t="s">
        <v>61</v>
      </c>
      <c r="C6" s="9">
        <v>6.2</v>
      </c>
      <c r="D6" s="9">
        <v>4.5999999999999996</v>
      </c>
      <c r="E6" s="9">
        <v>0.1</v>
      </c>
      <c r="F6" s="12">
        <f>C6*D6*E6</f>
        <v>2.8520000000000003</v>
      </c>
      <c r="G6" s="9"/>
      <c r="H6" s="9"/>
      <c r="I6" s="9"/>
      <c r="J6" s="10"/>
    </row>
    <row r="7" spans="1:10" x14ac:dyDescent="0.35">
      <c r="A7" s="11" t="s">
        <v>23</v>
      </c>
      <c r="B7" s="23" t="s">
        <v>32</v>
      </c>
      <c r="C7" s="9">
        <v>6.2</v>
      </c>
      <c r="D7" s="9">
        <v>4.5999999999999996</v>
      </c>
      <c r="E7" s="9">
        <v>0.15</v>
      </c>
      <c r="F7" s="12">
        <f>C7*D7*E7</f>
        <v>4.2779999999999996</v>
      </c>
      <c r="G7" s="9"/>
      <c r="H7" s="9"/>
      <c r="I7" s="9"/>
      <c r="J7" s="10"/>
    </row>
    <row r="8" spans="1:10" x14ac:dyDescent="0.35">
      <c r="A8" s="8" t="s">
        <v>1</v>
      </c>
      <c r="B8" s="9" t="s">
        <v>29</v>
      </c>
      <c r="C8" s="9">
        <v>5.2</v>
      </c>
      <c r="D8" s="9">
        <v>3.6</v>
      </c>
      <c r="E8" s="9">
        <v>0.3</v>
      </c>
      <c r="F8" s="12">
        <f>C8*D8*E8</f>
        <v>5.6160000000000005</v>
      </c>
      <c r="G8" s="9"/>
      <c r="H8" s="9"/>
      <c r="I8" s="9"/>
      <c r="J8" s="10"/>
    </row>
    <row r="9" spans="1:10" x14ac:dyDescent="0.35">
      <c r="A9" s="8" t="s">
        <v>3</v>
      </c>
      <c r="B9" s="9" t="s">
        <v>29</v>
      </c>
      <c r="C9" s="9">
        <f>(C8+C12)/2+(D8+D12)/2</f>
        <v>8.1999999999999993</v>
      </c>
      <c r="D9" s="9">
        <v>0.3</v>
      </c>
      <c r="E9" s="9">
        <v>2.5</v>
      </c>
      <c r="F9" s="12">
        <f>C9*D9*E9</f>
        <v>6.1499999999999986</v>
      </c>
      <c r="G9" s="9"/>
      <c r="H9" s="9"/>
      <c r="I9" s="9"/>
      <c r="J9" s="10"/>
    </row>
    <row r="10" spans="1:10" x14ac:dyDescent="0.35">
      <c r="A10" s="8" t="s">
        <v>38</v>
      </c>
      <c r="B10" s="9" t="s">
        <v>29</v>
      </c>
      <c r="C10" s="9">
        <v>4.5999999999999996</v>
      </c>
      <c r="D10" s="9">
        <v>3</v>
      </c>
      <c r="E10" s="9">
        <v>0.3</v>
      </c>
      <c r="F10" s="12">
        <f>(C10*D10-G10*H10)*E10</f>
        <v>3.2759999999999994</v>
      </c>
      <c r="G10" s="9">
        <v>1.2</v>
      </c>
      <c r="H10" s="9">
        <v>2.4</v>
      </c>
      <c r="I10" s="9">
        <f>G10*H10</f>
        <v>2.88</v>
      </c>
      <c r="J10" s="10"/>
    </row>
    <row r="11" spans="1:10" x14ac:dyDescent="0.35">
      <c r="A11" s="8"/>
      <c r="B11" s="9" t="s">
        <v>29</v>
      </c>
      <c r="C11" s="9"/>
      <c r="D11" s="9"/>
      <c r="E11" s="9"/>
      <c r="F11" s="12">
        <f>F8+F9+F10</f>
        <v>15.041999999999998</v>
      </c>
      <c r="G11" s="9"/>
      <c r="H11" s="9"/>
      <c r="I11" s="9"/>
      <c r="J11" s="10"/>
    </row>
    <row r="12" spans="1:10" x14ac:dyDescent="0.35">
      <c r="A12" s="11" t="s">
        <v>17</v>
      </c>
      <c r="B12" s="23" t="s">
        <v>31</v>
      </c>
      <c r="C12" s="9">
        <v>4.5999999999999996</v>
      </c>
      <c r="D12" s="9">
        <v>3</v>
      </c>
      <c r="E12" s="9">
        <v>0.05</v>
      </c>
      <c r="F12" s="12">
        <f>C12*D12*E12</f>
        <v>0.69</v>
      </c>
      <c r="G12" s="9"/>
      <c r="H12" s="9"/>
      <c r="I12" s="9"/>
      <c r="J12" s="10"/>
    </row>
    <row r="13" spans="1:10" x14ac:dyDescent="0.35">
      <c r="A13" s="13" t="s">
        <v>5</v>
      </c>
      <c r="B13" s="21"/>
      <c r="C13" s="9"/>
      <c r="D13" s="9"/>
      <c r="E13" s="9"/>
      <c r="F13" s="9"/>
      <c r="G13" s="9"/>
      <c r="H13" s="9"/>
      <c r="I13" s="9"/>
      <c r="J13" s="10"/>
    </row>
    <row r="14" spans="1:10" x14ac:dyDescent="0.35">
      <c r="A14" s="11" t="s">
        <v>116</v>
      </c>
      <c r="B14" s="23"/>
      <c r="C14" s="9">
        <v>3</v>
      </c>
      <c r="D14" s="9" t="s">
        <v>8</v>
      </c>
      <c r="E14" s="9"/>
      <c r="F14" s="9"/>
      <c r="G14" s="9"/>
      <c r="H14" s="9"/>
      <c r="I14" s="9"/>
      <c r="J14" s="10"/>
    </row>
    <row r="15" spans="1:10" x14ac:dyDescent="0.35">
      <c r="A15" s="11" t="s">
        <v>126</v>
      </c>
      <c r="B15" s="23"/>
      <c r="C15" s="32">
        <v>3</v>
      </c>
      <c r="D15" s="9" t="s">
        <v>8</v>
      </c>
      <c r="E15" s="9" t="s">
        <v>117</v>
      </c>
      <c r="F15" s="32" t="s">
        <v>118</v>
      </c>
      <c r="G15" s="32" t="s">
        <v>119</v>
      </c>
      <c r="H15" s="9"/>
      <c r="I15" s="9"/>
      <c r="J15" s="10"/>
    </row>
    <row r="16" spans="1:10" x14ac:dyDescent="0.35">
      <c r="A16" s="11" t="s">
        <v>120</v>
      </c>
      <c r="B16" s="23"/>
      <c r="C16" s="32">
        <v>2</v>
      </c>
      <c r="D16" s="9" t="s">
        <v>8</v>
      </c>
      <c r="E16" s="9"/>
      <c r="F16" s="9"/>
      <c r="G16" s="9"/>
      <c r="H16" s="9"/>
      <c r="I16" s="9"/>
      <c r="J16" s="10"/>
    </row>
    <row r="17" spans="1:10" x14ac:dyDescent="0.35">
      <c r="A17" s="11" t="s">
        <v>121</v>
      </c>
      <c r="B17" s="23"/>
      <c r="C17" s="32"/>
      <c r="D17" s="9"/>
      <c r="E17" s="9"/>
      <c r="F17" s="9"/>
      <c r="G17" s="9"/>
      <c r="H17" s="9"/>
      <c r="I17" s="9"/>
      <c r="J17" s="10"/>
    </row>
    <row r="18" spans="1:10" x14ac:dyDescent="0.35">
      <c r="A18" s="11" t="s">
        <v>122</v>
      </c>
      <c r="B18" s="23"/>
      <c r="C18" s="32"/>
      <c r="D18" s="9"/>
      <c r="E18" s="9"/>
      <c r="F18" s="9"/>
      <c r="G18" s="9"/>
      <c r="H18" s="9"/>
      <c r="I18" s="9"/>
      <c r="J18" s="10"/>
    </row>
    <row r="19" spans="1:10" x14ac:dyDescent="0.35">
      <c r="A19" s="11" t="s">
        <v>124</v>
      </c>
      <c r="B19" s="23"/>
      <c r="C19" s="32"/>
      <c r="D19" s="9"/>
      <c r="E19" s="9"/>
      <c r="F19" s="9"/>
      <c r="G19" s="9"/>
      <c r="H19" s="9"/>
      <c r="I19" s="9"/>
      <c r="J19" s="10"/>
    </row>
    <row r="20" spans="1:10" x14ac:dyDescent="0.35">
      <c r="A20" s="11" t="s">
        <v>123</v>
      </c>
      <c r="B20" s="23" t="s">
        <v>106</v>
      </c>
      <c r="C20" s="9">
        <v>2</v>
      </c>
      <c r="D20" s="9" t="s">
        <v>8</v>
      </c>
      <c r="E20" s="9"/>
      <c r="F20" s="9"/>
      <c r="G20" s="9"/>
      <c r="H20" s="9"/>
      <c r="I20" s="9"/>
      <c r="J20" s="10"/>
    </row>
    <row r="21" spans="1:10" x14ac:dyDescent="0.35">
      <c r="A21" s="11" t="s">
        <v>125</v>
      </c>
      <c r="B21" s="21"/>
      <c r="C21" s="9"/>
      <c r="D21" s="9"/>
      <c r="E21" s="9"/>
      <c r="F21" s="9"/>
      <c r="G21" s="9"/>
      <c r="H21" s="9"/>
      <c r="I21" s="9"/>
      <c r="J21" s="10"/>
    </row>
    <row r="22" spans="1:10" x14ac:dyDescent="0.35">
      <c r="A22" s="11" t="s">
        <v>127</v>
      </c>
      <c r="B22" s="21"/>
      <c r="C22" s="9"/>
      <c r="D22" s="9"/>
      <c r="E22" s="9"/>
      <c r="F22" s="9"/>
      <c r="G22" s="9"/>
      <c r="H22" s="9"/>
      <c r="I22" s="9"/>
      <c r="J22" s="10"/>
    </row>
    <row r="23" spans="1:10" x14ac:dyDescent="0.35">
      <c r="A23" s="11" t="s">
        <v>128</v>
      </c>
      <c r="B23" s="21"/>
      <c r="C23" s="9"/>
      <c r="D23" s="9"/>
      <c r="E23" s="9"/>
      <c r="F23" s="9"/>
      <c r="G23" s="9"/>
      <c r="H23" s="9"/>
      <c r="I23" s="9"/>
      <c r="J23" s="10"/>
    </row>
    <row r="24" spans="1:10" x14ac:dyDescent="0.35">
      <c r="A24" s="13"/>
      <c r="B24" s="21"/>
      <c r="C24" s="9"/>
      <c r="D24" s="9"/>
      <c r="E24" s="9"/>
      <c r="F24" s="9"/>
      <c r="G24" s="9"/>
      <c r="H24" s="9"/>
      <c r="I24" s="9"/>
      <c r="J24" s="10"/>
    </row>
    <row r="25" spans="1:10" x14ac:dyDescent="0.35">
      <c r="A25" s="13" t="s">
        <v>9</v>
      </c>
      <c r="B25" s="9"/>
      <c r="C25" s="22" t="s">
        <v>12</v>
      </c>
      <c r="D25" s="22" t="s">
        <v>13</v>
      </c>
      <c r="E25" s="22" t="s">
        <v>14</v>
      </c>
      <c r="F25" s="22" t="s">
        <v>20</v>
      </c>
      <c r="G25" s="40" t="s">
        <v>64</v>
      </c>
      <c r="H25" s="9"/>
      <c r="I25" s="9"/>
      <c r="J25" s="10"/>
    </row>
    <row r="26" spans="1:10" x14ac:dyDescent="0.35">
      <c r="A26" s="8"/>
      <c r="B26" s="9"/>
      <c r="C26" s="28" t="s">
        <v>16</v>
      </c>
      <c r="D26" s="28" t="s">
        <v>16</v>
      </c>
      <c r="E26" s="28" t="s">
        <v>16</v>
      </c>
      <c r="F26" s="28" t="s">
        <v>10</v>
      </c>
      <c r="G26" s="38" t="s">
        <v>8</v>
      </c>
      <c r="H26" s="9"/>
      <c r="I26" s="9"/>
      <c r="J26" s="10"/>
    </row>
    <row r="27" spans="1:10" x14ac:dyDescent="0.35">
      <c r="A27" s="8" t="s">
        <v>11</v>
      </c>
      <c r="B27" s="9" t="s">
        <v>30</v>
      </c>
      <c r="C27" s="9">
        <v>5.2</v>
      </c>
      <c r="D27" s="9">
        <v>3.6</v>
      </c>
      <c r="E27" s="9">
        <v>3.1</v>
      </c>
      <c r="F27" s="12">
        <f>(C27+D27)*E27*G27</f>
        <v>54.560000000000009</v>
      </c>
      <c r="G27" s="32">
        <v>2</v>
      </c>
      <c r="H27" s="9"/>
      <c r="I27" s="9"/>
      <c r="J27" s="10"/>
    </row>
    <row r="28" spans="1:10" x14ac:dyDescent="0.35">
      <c r="A28" s="8" t="s">
        <v>247</v>
      </c>
      <c r="B28" s="9"/>
      <c r="C28" s="9">
        <v>5.2</v>
      </c>
      <c r="D28" s="9">
        <v>3.6</v>
      </c>
      <c r="E28" s="9">
        <v>1.085</v>
      </c>
      <c r="F28" s="76">
        <f>(C28+D28)*E28*G28</f>
        <v>19.096</v>
      </c>
      <c r="G28" s="32">
        <v>2</v>
      </c>
      <c r="H28" s="9"/>
      <c r="I28" s="9"/>
      <c r="J28" s="10"/>
    </row>
    <row r="29" spans="1:10" x14ac:dyDescent="0.35">
      <c r="A29" s="8"/>
      <c r="B29" s="9"/>
      <c r="C29" s="9"/>
      <c r="D29" s="9"/>
      <c r="E29" s="9"/>
      <c r="F29" s="21"/>
      <c r="G29" s="9"/>
      <c r="H29" s="9"/>
      <c r="I29" s="9"/>
      <c r="J29" s="10"/>
    </row>
    <row r="30" spans="1:10" x14ac:dyDescent="0.35">
      <c r="A30" s="13" t="s">
        <v>129</v>
      </c>
      <c r="B30" s="9"/>
      <c r="C30" s="9"/>
      <c r="D30" s="9"/>
      <c r="E30" s="9"/>
      <c r="G30" s="9"/>
      <c r="H30" s="9"/>
      <c r="I30" s="9"/>
      <c r="J30" s="10"/>
    </row>
    <row r="31" spans="1:10" x14ac:dyDescent="0.35">
      <c r="A31" s="8" t="s">
        <v>3</v>
      </c>
      <c r="B31" s="9"/>
      <c r="C31" s="9"/>
      <c r="D31" s="9"/>
      <c r="E31" s="9"/>
      <c r="F31" s="12">
        <f>F27</f>
        <v>54.560000000000009</v>
      </c>
      <c r="G31" s="9"/>
      <c r="H31" s="9"/>
      <c r="I31" s="9"/>
      <c r="J31" s="10"/>
    </row>
    <row r="32" spans="1:10" x14ac:dyDescent="0.35">
      <c r="A32" s="8" t="s">
        <v>4</v>
      </c>
      <c r="B32" s="9"/>
      <c r="C32" s="9"/>
      <c r="D32" s="9"/>
      <c r="E32" s="9"/>
      <c r="F32" s="12">
        <f>F10/0.3</f>
        <v>10.919999999999998</v>
      </c>
      <c r="G32" s="9"/>
      <c r="H32" s="9"/>
      <c r="I32" s="9"/>
      <c r="J32" s="10"/>
    </row>
    <row r="33" spans="1:10" x14ac:dyDescent="0.35">
      <c r="A33" s="8" t="s">
        <v>1</v>
      </c>
      <c r="B33" s="9"/>
      <c r="C33" s="9"/>
      <c r="D33" s="9"/>
      <c r="E33" s="9"/>
      <c r="F33" s="9">
        <f>2*(3.6+5.2)*0.3</f>
        <v>5.28</v>
      </c>
      <c r="G33" s="9"/>
      <c r="H33" s="9"/>
      <c r="I33" s="9"/>
      <c r="J33" s="10"/>
    </row>
    <row r="34" spans="1:10" x14ac:dyDescent="0.35">
      <c r="A34" s="8"/>
      <c r="B34" s="9"/>
      <c r="C34" s="9"/>
      <c r="D34" s="9"/>
      <c r="E34" s="9"/>
      <c r="F34" s="9"/>
      <c r="G34" s="9"/>
      <c r="H34" s="9"/>
      <c r="I34" s="9"/>
      <c r="J34" s="10"/>
    </row>
    <row r="35" spans="1:10" x14ac:dyDescent="0.35">
      <c r="A35" s="8"/>
      <c r="B35" s="9"/>
      <c r="C35" s="9" t="s">
        <v>12</v>
      </c>
      <c r="D35" s="9" t="s">
        <v>13</v>
      </c>
      <c r="E35" s="9" t="s">
        <v>14</v>
      </c>
      <c r="F35" s="32" t="s">
        <v>20</v>
      </c>
      <c r="G35" s="9"/>
      <c r="H35" s="9"/>
      <c r="I35" s="9"/>
      <c r="J35" s="10"/>
    </row>
    <row r="36" spans="1:10" x14ac:dyDescent="0.35">
      <c r="A36" s="83" t="s">
        <v>54</v>
      </c>
      <c r="B36" s="9"/>
      <c r="C36" s="9" t="s">
        <v>16</v>
      </c>
      <c r="D36" s="9" t="s">
        <v>16</v>
      </c>
      <c r="E36" s="9" t="s">
        <v>16</v>
      </c>
      <c r="F36" s="9" t="s">
        <v>10</v>
      </c>
      <c r="G36" s="9"/>
      <c r="H36" s="9"/>
      <c r="I36" s="9"/>
      <c r="J36" s="10"/>
    </row>
    <row r="37" spans="1:10" x14ac:dyDescent="0.35">
      <c r="A37" s="8" t="s">
        <v>275</v>
      </c>
      <c r="B37" s="9"/>
      <c r="C37" s="9">
        <v>7.4</v>
      </c>
      <c r="D37" s="9">
        <v>5.8</v>
      </c>
      <c r="E37" s="9">
        <v>2.2650000000000001</v>
      </c>
      <c r="F37" s="84">
        <f>(C37+D37)*2*E37</f>
        <v>59.795999999999999</v>
      </c>
      <c r="G37" s="9"/>
      <c r="H37" s="9"/>
      <c r="I37" s="9"/>
      <c r="J37" s="10"/>
    </row>
    <row r="38" spans="1:10" x14ac:dyDescent="0.35">
      <c r="A38" s="8"/>
      <c r="B38" s="9"/>
      <c r="C38" s="9"/>
      <c r="D38" s="9"/>
      <c r="E38" s="9"/>
      <c r="F38" s="9"/>
      <c r="G38" s="9"/>
      <c r="H38" s="9"/>
      <c r="I38" s="9"/>
      <c r="J38" s="10"/>
    </row>
    <row r="39" spans="1:10" x14ac:dyDescent="0.35">
      <c r="A39" s="8"/>
      <c r="B39" s="9"/>
      <c r="C39" s="22" t="s">
        <v>12</v>
      </c>
      <c r="D39" s="22" t="s">
        <v>13</v>
      </c>
      <c r="E39" s="22" t="s">
        <v>14</v>
      </c>
      <c r="F39" s="22" t="s">
        <v>24</v>
      </c>
      <c r="G39" s="22" t="s">
        <v>26</v>
      </c>
      <c r="H39" s="22" t="s">
        <v>1</v>
      </c>
      <c r="I39" s="22" t="s">
        <v>27</v>
      </c>
      <c r="J39" s="27" t="s">
        <v>28</v>
      </c>
    </row>
    <row r="40" spans="1:10" x14ac:dyDescent="0.35">
      <c r="A40" s="13" t="s">
        <v>81</v>
      </c>
      <c r="B40" s="28"/>
      <c r="C40" s="28" t="s">
        <v>16</v>
      </c>
      <c r="D40" s="28" t="s">
        <v>16</v>
      </c>
      <c r="E40" s="28" t="s">
        <v>16</v>
      </c>
      <c r="F40" s="28" t="s">
        <v>33</v>
      </c>
      <c r="G40" s="28" t="s">
        <v>2</v>
      </c>
      <c r="H40" s="28" t="s">
        <v>10</v>
      </c>
      <c r="I40" s="28" t="s">
        <v>10</v>
      </c>
      <c r="J40" s="29" t="s">
        <v>10</v>
      </c>
    </row>
    <row r="41" spans="1:10" x14ac:dyDescent="0.35">
      <c r="A41" s="8" t="s">
        <v>45</v>
      </c>
      <c r="B41" s="9"/>
      <c r="C41" s="9">
        <v>6.2</v>
      </c>
      <c r="D41" s="9">
        <v>4.5999999999999996</v>
      </c>
      <c r="E41" s="9">
        <v>2.2650000000000001</v>
      </c>
      <c r="F41" s="47" t="s">
        <v>25</v>
      </c>
      <c r="G41" s="12">
        <f>((C41*D41)+(C41+E41)*(D41+E41))/2*E41</f>
        <v>98.11099481250001</v>
      </c>
      <c r="H41" s="33">
        <f>C41*D41</f>
        <v>28.52</v>
      </c>
      <c r="I41" s="33">
        <f>(C41+E41)*(D41+E41)</f>
        <v>58.112225000000002</v>
      </c>
      <c r="J41" s="48">
        <f>(H41+I41)/2</f>
        <v>43.316112500000003</v>
      </c>
    </row>
    <row r="42" spans="1:10" x14ac:dyDescent="0.35">
      <c r="A42" s="49" t="s">
        <v>80</v>
      </c>
      <c r="B42" s="15"/>
      <c r="C42" s="15"/>
      <c r="D42" s="15"/>
      <c r="E42" s="15"/>
      <c r="F42" s="16"/>
      <c r="G42" s="17">
        <f>G41-C8*D8*E41</f>
        <v>55.710194812499999</v>
      </c>
      <c r="H42" s="24"/>
      <c r="I42" s="24"/>
      <c r="J42" s="25"/>
    </row>
    <row r="43" spans="1:10" x14ac:dyDescent="0.35">
      <c r="F43" s="2"/>
      <c r="G43" s="3"/>
      <c r="H43" s="4"/>
      <c r="I43" s="4"/>
      <c r="J43" s="4"/>
    </row>
    <row r="44" spans="1:10" x14ac:dyDescent="0.35">
      <c r="A44" s="1" t="s">
        <v>34</v>
      </c>
    </row>
    <row r="45" spans="1:10" x14ac:dyDescent="0.35">
      <c r="A45" s="5" t="s">
        <v>41</v>
      </c>
      <c r="B45" s="6"/>
      <c r="C45" s="20" t="s">
        <v>12</v>
      </c>
      <c r="D45" s="20" t="s">
        <v>13</v>
      </c>
      <c r="E45" s="20" t="s">
        <v>14</v>
      </c>
      <c r="F45" s="20" t="s">
        <v>15</v>
      </c>
      <c r="G45" s="6"/>
      <c r="H45" s="6"/>
      <c r="I45" s="7"/>
    </row>
    <row r="46" spans="1:10" x14ac:dyDescent="0.35">
      <c r="A46" s="8"/>
      <c r="B46" s="9"/>
      <c r="C46" s="28" t="s">
        <v>16</v>
      </c>
      <c r="D46" s="28" t="s">
        <v>16</v>
      </c>
      <c r="E46" s="28" t="s">
        <v>16</v>
      </c>
      <c r="F46" s="28" t="s">
        <v>2</v>
      </c>
      <c r="G46" s="9"/>
      <c r="H46" s="9"/>
      <c r="I46" s="10"/>
    </row>
    <row r="47" spans="1:10" x14ac:dyDescent="0.35">
      <c r="A47" s="11" t="s">
        <v>36</v>
      </c>
      <c r="B47" s="9" t="s">
        <v>61</v>
      </c>
      <c r="C47" s="9">
        <v>1.7</v>
      </c>
      <c r="D47" s="9">
        <v>1.63</v>
      </c>
      <c r="E47" s="9">
        <v>0.1</v>
      </c>
      <c r="F47" s="12">
        <f>C47*D47*E47</f>
        <v>0.27710000000000001</v>
      </c>
      <c r="G47" s="9"/>
      <c r="H47" s="9"/>
      <c r="I47" s="10"/>
    </row>
    <row r="48" spans="1:10" x14ac:dyDescent="0.35">
      <c r="A48" s="11" t="s">
        <v>35</v>
      </c>
      <c r="B48" s="23" t="s">
        <v>32</v>
      </c>
      <c r="C48" s="9" t="s">
        <v>33</v>
      </c>
      <c r="D48" s="9" t="s">
        <v>33</v>
      </c>
      <c r="E48" s="9" t="s">
        <v>33</v>
      </c>
      <c r="F48" s="9" t="s">
        <v>33</v>
      </c>
      <c r="G48" s="9"/>
      <c r="H48" s="9"/>
      <c r="I48" s="10"/>
    </row>
    <row r="49" spans="1:9" x14ac:dyDescent="0.35">
      <c r="A49" s="11" t="s">
        <v>1</v>
      </c>
      <c r="B49" s="9" t="s">
        <v>29</v>
      </c>
      <c r="C49" s="9">
        <v>1.5</v>
      </c>
      <c r="D49" s="9">
        <v>1.63</v>
      </c>
      <c r="E49" s="9">
        <v>0.2</v>
      </c>
      <c r="F49" s="12">
        <f>C49*D49*E49</f>
        <v>0.48899999999999999</v>
      </c>
      <c r="G49" s="9"/>
      <c r="H49" s="9"/>
      <c r="I49" s="10"/>
    </row>
    <row r="50" spans="1:9" x14ac:dyDescent="0.35">
      <c r="A50" s="11" t="s">
        <v>37</v>
      </c>
      <c r="B50" s="9" t="s">
        <v>29</v>
      </c>
      <c r="C50" s="9">
        <v>1.5</v>
      </c>
      <c r="D50" s="9">
        <v>0.2</v>
      </c>
      <c r="E50" s="9">
        <v>0.5</v>
      </c>
      <c r="F50" s="12">
        <f>C50*D50*E50</f>
        <v>0.15000000000000002</v>
      </c>
      <c r="G50" s="9"/>
      <c r="H50" s="9"/>
      <c r="I50" s="10"/>
    </row>
    <row r="51" spans="1:9" x14ac:dyDescent="0.35">
      <c r="A51" s="11" t="s">
        <v>38</v>
      </c>
      <c r="B51" s="9" t="s">
        <v>29</v>
      </c>
      <c r="C51" s="9">
        <v>1.5</v>
      </c>
      <c r="D51" s="9">
        <v>1.63</v>
      </c>
      <c r="E51" s="9">
        <v>0.1</v>
      </c>
      <c r="F51" s="12">
        <f>C51*D51*E51</f>
        <v>0.2445</v>
      </c>
      <c r="G51" s="9"/>
      <c r="H51" s="9"/>
      <c r="I51" s="10"/>
    </row>
    <row r="52" spans="1:9" x14ac:dyDescent="0.35">
      <c r="A52" s="11"/>
      <c r="B52" s="9"/>
      <c r="C52" s="9"/>
      <c r="D52" s="9"/>
      <c r="E52" s="9"/>
      <c r="F52" s="12">
        <f>SUM(F49:F51)</f>
        <v>0.88349999999999995</v>
      </c>
      <c r="G52" s="9"/>
      <c r="H52" s="9"/>
      <c r="I52" s="10"/>
    </row>
    <row r="53" spans="1:9" x14ac:dyDescent="0.35">
      <c r="A53" s="13" t="s">
        <v>50</v>
      </c>
      <c r="B53" s="9"/>
      <c r="C53" s="21" t="s">
        <v>64</v>
      </c>
      <c r="D53" s="22" t="s">
        <v>12</v>
      </c>
      <c r="E53" s="40" t="s">
        <v>13</v>
      </c>
      <c r="F53" s="41" t="s">
        <v>20</v>
      </c>
      <c r="G53" s="9"/>
      <c r="H53" s="9"/>
      <c r="I53" s="10"/>
    </row>
    <row r="54" spans="1:9" x14ac:dyDescent="0.35">
      <c r="A54" s="13"/>
      <c r="B54" s="9"/>
      <c r="C54" s="28" t="s">
        <v>8</v>
      </c>
      <c r="D54" s="28" t="s">
        <v>16</v>
      </c>
      <c r="E54" s="38" t="s">
        <v>16</v>
      </c>
      <c r="F54" s="39" t="s">
        <v>10</v>
      </c>
      <c r="G54" s="9"/>
      <c r="H54" s="9"/>
      <c r="I54" s="10"/>
    </row>
    <row r="55" spans="1:9" x14ac:dyDescent="0.35">
      <c r="A55" s="11" t="s">
        <v>1</v>
      </c>
      <c r="B55" s="9" t="s">
        <v>30</v>
      </c>
      <c r="C55" s="9">
        <v>1</v>
      </c>
      <c r="D55" s="32">
        <v>1.63</v>
      </c>
      <c r="E55" s="32">
        <v>1.1000000000000001</v>
      </c>
      <c r="F55" s="12">
        <f>C55*D55*E55</f>
        <v>1.7929999999999999</v>
      </c>
      <c r="G55" s="9"/>
      <c r="H55" s="9"/>
      <c r="I55" s="10"/>
    </row>
    <row r="56" spans="1:9" x14ac:dyDescent="0.35">
      <c r="A56" s="11" t="s">
        <v>11</v>
      </c>
      <c r="B56" s="9" t="s">
        <v>30</v>
      </c>
      <c r="C56" s="9">
        <v>2</v>
      </c>
      <c r="D56" s="9">
        <v>1.63</v>
      </c>
      <c r="E56" s="9">
        <v>0.8</v>
      </c>
      <c r="F56" s="12">
        <f t="shared" ref="F56:F60" si="0">C56*D56*E56</f>
        <v>2.6080000000000001</v>
      </c>
      <c r="G56" s="9"/>
      <c r="H56" s="9"/>
      <c r="I56" s="10"/>
    </row>
    <row r="57" spans="1:9" x14ac:dyDescent="0.35">
      <c r="A57" s="11" t="s">
        <v>248</v>
      </c>
      <c r="B57" s="9" t="s">
        <v>30</v>
      </c>
      <c r="C57" s="32">
        <v>2</v>
      </c>
      <c r="D57" s="32">
        <v>1.63</v>
      </c>
      <c r="E57" s="32">
        <v>0.5</v>
      </c>
      <c r="F57" s="12">
        <f t="shared" si="0"/>
        <v>1.63</v>
      </c>
      <c r="G57" s="9"/>
      <c r="H57" s="9"/>
      <c r="I57" s="10"/>
    </row>
    <row r="58" spans="1:9" x14ac:dyDescent="0.35">
      <c r="A58" s="11" t="s">
        <v>51</v>
      </c>
      <c r="B58" s="9"/>
      <c r="C58" s="32">
        <v>2</v>
      </c>
      <c r="D58" s="32">
        <v>1.63</v>
      </c>
      <c r="E58" s="32">
        <v>0.19</v>
      </c>
      <c r="G58" s="77">
        <f>C58*D58*E58</f>
        <v>0.61939999999999995</v>
      </c>
      <c r="H58" s="9"/>
      <c r="I58" s="10"/>
    </row>
    <row r="59" spans="1:9" x14ac:dyDescent="0.35">
      <c r="A59" s="11" t="s">
        <v>53</v>
      </c>
      <c r="B59" s="9" t="s">
        <v>30</v>
      </c>
      <c r="C59" s="32">
        <v>1</v>
      </c>
      <c r="D59" s="32">
        <v>1.63</v>
      </c>
      <c r="E59" s="32">
        <v>1.1000000000000001</v>
      </c>
      <c r="F59" s="12">
        <f t="shared" si="0"/>
        <v>1.7929999999999999</v>
      </c>
      <c r="G59" s="9"/>
      <c r="H59" s="9"/>
      <c r="I59" s="10"/>
    </row>
    <row r="60" spans="1:9" x14ac:dyDescent="0.35">
      <c r="A60" s="11" t="s">
        <v>52</v>
      </c>
      <c r="B60" s="9" t="s">
        <v>30</v>
      </c>
      <c r="C60" s="32">
        <v>1</v>
      </c>
      <c r="D60" s="32">
        <v>1.63</v>
      </c>
      <c r="E60" s="32">
        <v>1.5</v>
      </c>
      <c r="F60" s="12">
        <f t="shared" si="0"/>
        <v>2.4449999999999998</v>
      </c>
      <c r="G60" s="9"/>
      <c r="H60" s="9"/>
      <c r="I60" s="10"/>
    </row>
    <row r="61" spans="1:9" x14ac:dyDescent="0.35">
      <c r="A61" s="11"/>
      <c r="B61" s="9"/>
      <c r="C61" s="32"/>
      <c r="D61" s="32"/>
      <c r="E61" s="32"/>
      <c r="F61" s="34">
        <f>SUM(F55:F60)</f>
        <v>10.269</v>
      </c>
      <c r="G61" s="9"/>
      <c r="H61" s="9"/>
      <c r="I61" s="10"/>
    </row>
    <row r="62" spans="1:9" x14ac:dyDescent="0.35">
      <c r="A62" s="13" t="s">
        <v>129</v>
      </c>
      <c r="B62" s="9"/>
      <c r="C62" s="32"/>
      <c r="D62" s="32"/>
      <c r="E62" s="32"/>
      <c r="F62" s="12"/>
      <c r="G62" s="9"/>
      <c r="H62" s="9"/>
      <c r="I62" s="10"/>
    </row>
    <row r="63" spans="1:9" x14ac:dyDescent="0.35">
      <c r="A63" s="11" t="s">
        <v>3</v>
      </c>
      <c r="B63" s="9"/>
      <c r="C63" s="32"/>
      <c r="D63" s="32"/>
      <c r="E63" s="32"/>
      <c r="F63" s="12">
        <f>(F56+F57)*2</f>
        <v>8.4759999999999991</v>
      </c>
      <c r="G63" s="9"/>
      <c r="H63" s="9"/>
      <c r="I63" s="10"/>
    </row>
    <row r="64" spans="1:9" x14ac:dyDescent="0.35">
      <c r="A64" s="11" t="s">
        <v>131</v>
      </c>
      <c r="B64" s="9"/>
      <c r="C64" s="32"/>
      <c r="D64" s="32"/>
      <c r="E64" s="32"/>
      <c r="F64" s="12"/>
      <c r="G64" s="9"/>
      <c r="H64" s="9"/>
      <c r="I64" s="10"/>
    </row>
    <row r="65" spans="1:10" x14ac:dyDescent="0.35">
      <c r="A65" s="11"/>
      <c r="B65" s="9"/>
      <c r="C65" s="9"/>
      <c r="D65" s="9"/>
      <c r="E65" s="9"/>
      <c r="G65" s="9"/>
      <c r="H65" s="9"/>
      <c r="I65" s="10"/>
    </row>
    <row r="66" spans="1:10" x14ac:dyDescent="0.35">
      <c r="A66" s="13" t="s">
        <v>39</v>
      </c>
      <c r="B66" s="9"/>
      <c r="C66" s="26" t="s">
        <v>43</v>
      </c>
      <c r="D66" s="26" t="s">
        <v>44</v>
      </c>
      <c r="E66" s="26"/>
      <c r="F66" s="26" t="s">
        <v>42</v>
      </c>
      <c r="G66" s="9"/>
      <c r="H66" s="9"/>
      <c r="I66" s="10"/>
    </row>
    <row r="67" spans="1:10" x14ac:dyDescent="0.35">
      <c r="A67" s="13"/>
      <c r="B67" s="9"/>
      <c r="C67" s="28" t="s">
        <v>16</v>
      </c>
      <c r="D67" s="28" t="s">
        <v>16</v>
      </c>
      <c r="E67" s="28"/>
      <c r="F67" s="28" t="s">
        <v>16</v>
      </c>
      <c r="G67" s="9"/>
      <c r="H67" s="9"/>
      <c r="I67" s="10"/>
    </row>
    <row r="68" spans="1:10" x14ac:dyDescent="0.35">
      <c r="A68" s="11" t="s">
        <v>40</v>
      </c>
      <c r="B68" s="9"/>
      <c r="C68" s="9">
        <v>1.3</v>
      </c>
      <c r="D68" s="9">
        <v>0.6</v>
      </c>
      <c r="E68" s="9"/>
      <c r="F68" s="12">
        <f>C68+2*D68</f>
        <v>2.5</v>
      </c>
      <c r="G68" s="9"/>
      <c r="H68" s="9"/>
      <c r="I68" s="10"/>
    </row>
    <row r="69" spans="1:10" x14ac:dyDescent="0.35">
      <c r="A69" s="8"/>
      <c r="B69" s="9"/>
      <c r="C69" s="9"/>
      <c r="D69" s="9"/>
      <c r="E69" s="9"/>
      <c r="F69" s="9"/>
      <c r="G69" s="9"/>
      <c r="H69" s="9"/>
      <c r="I69" s="10"/>
    </row>
    <row r="70" spans="1:10" x14ac:dyDescent="0.35">
      <c r="A70" s="13" t="s">
        <v>81</v>
      </c>
      <c r="B70" s="9"/>
      <c r="C70" s="22" t="s">
        <v>12</v>
      </c>
      <c r="D70" s="22" t="s">
        <v>13</v>
      </c>
      <c r="E70" s="22" t="s">
        <v>14</v>
      </c>
      <c r="F70" s="22" t="s">
        <v>24</v>
      </c>
      <c r="G70" s="22" t="s">
        <v>26</v>
      </c>
      <c r="H70" s="22" t="s">
        <v>1</v>
      </c>
      <c r="I70" s="27" t="s">
        <v>27</v>
      </c>
    </row>
    <row r="71" spans="1:10" x14ac:dyDescent="0.35">
      <c r="A71" s="8"/>
      <c r="B71" s="9"/>
      <c r="C71" s="28" t="s">
        <v>16</v>
      </c>
      <c r="D71" s="28" t="s">
        <v>16</v>
      </c>
      <c r="E71" s="28" t="s">
        <v>16</v>
      </c>
      <c r="F71" s="28" t="s">
        <v>33</v>
      </c>
      <c r="G71" s="28" t="s">
        <v>2</v>
      </c>
      <c r="H71" s="28" t="s">
        <v>10</v>
      </c>
      <c r="I71" s="29" t="s">
        <v>10</v>
      </c>
    </row>
    <row r="72" spans="1:10" x14ac:dyDescent="0.35">
      <c r="A72" s="8" t="s">
        <v>45</v>
      </c>
      <c r="B72" s="9" t="s">
        <v>46</v>
      </c>
      <c r="C72" s="9">
        <v>1.5</v>
      </c>
      <c r="D72" s="9">
        <v>1.63</v>
      </c>
      <c r="E72" s="9">
        <v>0.55000000000000004</v>
      </c>
      <c r="F72" s="47" t="s">
        <v>25</v>
      </c>
      <c r="G72" s="12">
        <f>(H72+I72)/2</f>
        <v>2.8932499999999997</v>
      </c>
      <c r="H72" s="9">
        <f>C72*D72</f>
        <v>2.4449999999999998</v>
      </c>
      <c r="I72" s="10">
        <f>(C72+E72)*D72</f>
        <v>3.3414999999999995</v>
      </c>
    </row>
    <row r="73" spans="1:10" x14ac:dyDescent="0.35">
      <c r="A73" s="14" t="s">
        <v>80</v>
      </c>
      <c r="B73" s="15"/>
      <c r="C73" s="15"/>
      <c r="D73" s="15"/>
      <c r="E73" s="15"/>
      <c r="F73" s="16"/>
      <c r="G73" s="17">
        <f>G72-D72*E72</f>
        <v>1.9967499999999996</v>
      </c>
      <c r="H73" s="15"/>
      <c r="I73" s="18"/>
    </row>
    <row r="75" spans="1:10" x14ac:dyDescent="0.35">
      <c r="A75" s="1" t="s">
        <v>47</v>
      </c>
      <c r="B75" s="53"/>
    </row>
    <row r="76" spans="1:10" x14ac:dyDescent="0.35">
      <c r="A76" s="5" t="s">
        <v>41</v>
      </c>
      <c r="B76" s="19"/>
      <c r="C76" s="20" t="s">
        <v>12</v>
      </c>
      <c r="D76" s="20" t="s">
        <v>13</v>
      </c>
      <c r="E76" s="20" t="s">
        <v>14</v>
      </c>
      <c r="F76" s="20" t="s">
        <v>15</v>
      </c>
      <c r="G76" s="20" t="s">
        <v>48</v>
      </c>
      <c r="H76" s="20" t="s">
        <v>49</v>
      </c>
      <c r="I76" s="6"/>
      <c r="J76" s="7"/>
    </row>
    <row r="77" spans="1:10" x14ac:dyDescent="0.35">
      <c r="A77" s="13"/>
      <c r="B77" s="21"/>
      <c r="C77" s="28" t="s">
        <v>16</v>
      </c>
      <c r="D77" s="28" t="s">
        <v>16</v>
      </c>
      <c r="E77" s="28" t="s">
        <v>16</v>
      </c>
      <c r="F77" s="28" t="s">
        <v>2</v>
      </c>
      <c r="G77" s="28" t="s">
        <v>16</v>
      </c>
      <c r="H77" s="28" t="s">
        <v>16</v>
      </c>
      <c r="I77" s="9"/>
      <c r="J77" s="10"/>
    </row>
    <row r="78" spans="1:10" x14ac:dyDescent="0.35">
      <c r="A78" s="11" t="s">
        <v>62</v>
      </c>
      <c r="B78" s="23" t="s">
        <v>61</v>
      </c>
      <c r="C78" s="9">
        <v>6.8</v>
      </c>
      <c r="D78" s="9">
        <v>6</v>
      </c>
      <c r="E78" s="9">
        <v>0.1</v>
      </c>
      <c r="F78" s="12">
        <f>C78*D78*E78</f>
        <v>4.08</v>
      </c>
      <c r="G78" s="9"/>
      <c r="H78" s="9"/>
      <c r="I78" s="9"/>
      <c r="J78" s="10"/>
    </row>
    <row r="79" spans="1:10" x14ac:dyDescent="0.35">
      <c r="A79" s="11" t="s">
        <v>63</v>
      </c>
      <c r="B79" s="23" t="s">
        <v>32</v>
      </c>
      <c r="C79" s="9">
        <v>6.8</v>
      </c>
      <c r="D79" s="9">
        <v>6</v>
      </c>
      <c r="E79" s="9">
        <v>0.15</v>
      </c>
      <c r="F79" s="12">
        <f>C79*D79*E79</f>
        <v>6.1199999999999992</v>
      </c>
      <c r="G79" s="9"/>
      <c r="H79" s="9"/>
      <c r="I79" s="9"/>
      <c r="J79" s="10"/>
    </row>
    <row r="80" spans="1:10" x14ac:dyDescent="0.35">
      <c r="A80" s="8" t="s">
        <v>1</v>
      </c>
      <c r="B80" s="9" t="s">
        <v>29</v>
      </c>
      <c r="C80" s="9">
        <v>4.0999999999999996</v>
      </c>
      <c r="D80" s="9">
        <v>3.6</v>
      </c>
      <c r="E80" s="9">
        <v>0.72499999999999998</v>
      </c>
      <c r="F80" s="35">
        <f>C80*D80*E80</f>
        <v>10.700999999999999</v>
      </c>
      <c r="G80" s="9"/>
      <c r="H80" s="9"/>
      <c r="I80" s="9"/>
      <c r="J80" s="10"/>
    </row>
    <row r="81" spans="1:10" x14ac:dyDescent="0.35">
      <c r="A81" s="8" t="s">
        <v>3</v>
      </c>
      <c r="B81" s="9" t="s">
        <v>29</v>
      </c>
      <c r="C81" s="9">
        <f>2*(C80-0.3+D80-0.3)</f>
        <v>14.200000000000001</v>
      </c>
      <c r="D81" s="9">
        <v>0.3</v>
      </c>
      <c r="E81" s="9">
        <v>8.3000000000000007</v>
      </c>
      <c r="F81" s="36">
        <f>C81*D81*E81</f>
        <v>35.358000000000004</v>
      </c>
      <c r="G81" s="9"/>
      <c r="H81" s="9"/>
      <c r="I81" s="9"/>
      <c r="J81" s="10"/>
    </row>
    <row r="82" spans="1:10" x14ac:dyDescent="0.35">
      <c r="A82" s="8"/>
      <c r="B82" s="9"/>
      <c r="C82" s="9"/>
      <c r="D82" s="9"/>
      <c r="E82" s="9"/>
      <c r="F82" s="36"/>
      <c r="G82" s="9">
        <v>1.6</v>
      </c>
      <c r="H82" s="9">
        <v>0.8</v>
      </c>
      <c r="I82" s="9"/>
      <c r="J82" s="10"/>
    </row>
    <row r="83" spans="1:10" x14ac:dyDescent="0.35">
      <c r="A83" s="8" t="s">
        <v>38</v>
      </c>
      <c r="B83" s="9" t="s">
        <v>29</v>
      </c>
      <c r="C83" s="9">
        <v>4.0999999999999996</v>
      </c>
      <c r="D83" s="9">
        <v>3.6</v>
      </c>
      <c r="E83" s="9">
        <v>0.3</v>
      </c>
      <c r="F83" s="36">
        <f>(C83*D83-G83*H83-G82*H82)*E83</f>
        <v>3.8519999999999999</v>
      </c>
      <c r="G83" s="9">
        <v>0.8</v>
      </c>
      <c r="H83" s="9">
        <v>0.8</v>
      </c>
      <c r="I83" s="9"/>
      <c r="J83" s="10"/>
    </row>
    <row r="84" spans="1:10" x14ac:dyDescent="0.35">
      <c r="A84" s="8"/>
      <c r="B84" s="9"/>
      <c r="C84" s="9"/>
      <c r="D84" s="9"/>
      <c r="E84" s="9"/>
      <c r="F84" s="36"/>
      <c r="G84" s="9" t="s">
        <v>108</v>
      </c>
      <c r="H84" s="9"/>
      <c r="I84" s="9"/>
      <c r="J84" s="10"/>
    </row>
    <row r="85" spans="1:10" x14ac:dyDescent="0.35">
      <c r="A85" s="8" t="s">
        <v>98</v>
      </c>
      <c r="B85" s="9" t="s">
        <v>29</v>
      </c>
      <c r="C85" s="32">
        <v>1.2</v>
      </c>
      <c r="D85" s="32">
        <v>1.4</v>
      </c>
      <c r="E85" s="32">
        <v>0.3</v>
      </c>
      <c r="F85" s="36">
        <f>C85*D85+D85*G85/2*E85</f>
        <v>1.827</v>
      </c>
      <c r="G85" s="9">
        <v>0.7</v>
      </c>
      <c r="H85" s="9"/>
      <c r="I85" s="9"/>
      <c r="J85" s="10"/>
    </row>
    <row r="86" spans="1:10" x14ac:dyDescent="0.35">
      <c r="A86" s="8"/>
      <c r="B86" s="9"/>
      <c r="C86" s="32"/>
      <c r="D86" s="32"/>
      <c r="E86" s="32"/>
      <c r="F86" s="36"/>
      <c r="G86" s="9" t="s">
        <v>109</v>
      </c>
      <c r="H86" s="9" t="s">
        <v>14</v>
      </c>
      <c r="I86" s="9"/>
      <c r="J86" s="10"/>
    </row>
    <row r="87" spans="1:10" x14ac:dyDescent="0.35">
      <c r="A87" s="8" t="s">
        <v>99</v>
      </c>
      <c r="B87" s="9" t="s">
        <v>29</v>
      </c>
      <c r="C87" s="9">
        <v>3.4</v>
      </c>
      <c r="D87" s="32">
        <v>0.3</v>
      </c>
      <c r="E87" s="32">
        <v>1.95</v>
      </c>
      <c r="F87" s="36">
        <f>C87*D87+D87*G87/2*E87+(G87-D85)*H87</f>
        <v>2.250375</v>
      </c>
      <c r="G87" s="32">
        <v>1.95</v>
      </c>
      <c r="H87" s="32">
        <v>1.2</v>
      </c>
      <c r="I87" s="9"/>
      <c r="J87" s="10"/>
    </row>
    <row r="88" spans="1:10" x14ac:dyDescent="0.35">
      <c r="A88" s="8" t="s">
        <v>100</v>
      </c>
      <c r="B88" s="9" t="s">
        <v>29</v>
      </c>
      <c r="C88" s="9" t="s">
        <v>107</v>
      </c>
      <c r="D88" s="9"/>
      <c r="E88" s="9"/>
      <c r="F88" s="37">
        <f>F85</f>
        <v>1.827</v>
      </c>
      <c r="G88" s="9"/>
      <c r="H88" s="9"/>
      <c r="I88" s="9"/>
      <c r="J88" s="10"/>
    </row>
    <row r="89" spans="1:10" x14ac:dyDescent="0.35">
      <c r="A89" s="8"/>
      <c r="B89" s="9"/>
      <c r="C89" s="9"/>
      <c r="D89" s="9"/>
      <c r="E89" s="9"/>
      <c r="F89" s="12">
        <f>SUM(F80:F88)</f>
        <v>55.815374999999996</v>
      </c>
      <c r="G89" s="9"/>
      <c r="H89" s="9"/>
      <c r="I89" s="9"/>
      <c r="J89" s="10"/>
    </row>
    <row r="90" spans="1:10" x14ac:dyDescent="0.35">
      <c r="A90" s="8"/>
      <c r="B90" s="9"/>
      <c r="C90" s="22" t="s">
        <v>12</v>
      </c>
      <c r="D90" s="22" t="s">
        <v>13</v>
      </c>
      <c r="E90" s="22" t="s">
        <v>70</v>
      </c>
      <c r="F90" s="41" t="s">
        <v>71</v>
      </c>
      <c r="G90" s="22" t="s">
        <v>15</v>
      </c>
      <c r="H90" s="9"/>
      <c r="I90" s="9"/>
      <c r="J90" s="10"/>
    </row>
    <row r="91" spans="1:10" x14ac:dyDescent="0.35">
      <c r="A91" s="8"/>
      <c r="B91" s="9"/>
      <c r="C91" s="28" t="s">
        <v>16</v>
      </c>
      <c r="D91" s="28" t="s">
        <v>16</v>
      </c>
      <c r="E91" s="28" t="s">
        <v>16</v>
      </c>
      <c r="F91" s="45" t="s">
        <v>2</v>
      </c>
      <c r="G91" s="28" t="s">
        <v>2</v>
      </c>
      <c r="H91" s="9"/>
      <c r="I91" s="9"/>
      <c r="J91" s="10"/>
    </row>
    <row r="92" spans="1:10" x14ac:dyDescent="0.35">
      <c r="A92" s="11" t="s">
        <v>17</v>
      </c>
      <c r="B92" s="23" t="s">
        <v>31</v>
      </c>
      <c r="C92" s="9">
        <v>3</v>
      </c>
      <c r="D92" s="9">
        <v>2.2999999999999998</v>
      </c>
      <c r="E92" s="9">
        <v>0.05</v>
      </c>
      <c r="F92" s="44">
        <v>1</v>
      </c>
      <c r="G92" s="12">
        <f>(C92*D92)*(E92+(F92-E92)/2)</f>
        <v>3.6225000000000001</v>
      </c>
      <c r="H92" s="9"/>
      <c r="I92" s="9"/>
      <c r="J92" s="10"/>
    </row>
    <row r="93" spans="1:10" x14ac:dyDescent="0.35">
      <c r="A93" s="11"/>
      <c r="B93" s="43" t="s">
        <v>68</v>
      </c>
      <c r="C93" s="9"/>
      <c r="D93" s="9"/>
      <c r="E93" s="9"/>
      <c r="F93" s="12"/>
      <c r="G93" s="9"/>
      <c r="H93" s="9"/>
      <c r="I93" s="9"/>
      <c r="J93" s="10"/>
    </row>
    <row r="94" spans="1:10" x14ac:dyDescent="0.35">
      <c r="A94" s="11"/>
      <c r="B94" s="43"/>
      <c r="C94" s="9" t="s">
        <v>12</v>
      </c>
      <c r="D94" s="9" t="s">
        <v>13</v>
      </c>
      <c r="E94" s="9" t="s">
        <v>14</v>
      </c>
      <c r="F94" s="12" t="s">
        <v>20</v>
      </c>
      <c r="G94" s="9"/>
      <c r="H94" s="9"/>
      <c r="I94" s="9"/>
      <c r="J94" s="10"/>
    </row>
    <row r="95" spans="1:10" x14ac:dyDescent="0.35">
      <c r="A95" s="11" t="s">
        <v>69</v>
      </c>
      <c r="B95" s="23"/>
      <c r="C95" s="9">
        <v>1.8</v>
      </c>
      <c r="D95" s="9">
        <v>1.2</v>
      </c>
      <c r="E95" s="9">
        <v>0.05</v>
      </c>
      <c r="F95" s="12">
        <f>(C95+2*E95)*(D95+2*E95)</f>
        <v>2.4700000000000002</v>
      </c>
      <c r="G95" s="9"/>
      <c r="H95" s="9"/>
      <c r="I95" s="9"/>
      <c r="J95" s="10"/>
    </row>
    <row r="96" spans="1:10" x14ac:dyDescent="0.35">
      <c r="A96" s="11"/>
      <c r="B96" s="23"/>
      <c r="C96" s="9"/>
      <c r="D96" s="9"/>
      <c r="E96" s="9"/>
      <c r="F96" s="12"/>
      <c r="G96" s="9"/>
      <c r="H96" s="9"/>
      <c r="I96" s="9"/>
      <c r="J96" s="10"/>
    </row>
    <row r="97" spans="1:10" x14ac:dyDescent="0.35">
      <c r="A97" s="13" t="s">
        <v>5</v>
      </c>
      <c r="B97" s="21"/>
      <c r="C97" s="9"/>
      <c r="D97" s="9"/>
      <c r="E97" s="9"/>
      <c r="F97" s="9"/>
      <c r="G97" s="9"/>
      <c r="H97" s="9"/>
      <c r="I97" s="9"/>
      <c r="J97" s="10"/>
    </row>
    <row r="98" spans="1:10" x14ac:dyDescent="0.35">
      <c r="A98" s="11" t="s">
        <v>101</v>
      </c>
      <c r="B98" s="23" t="s">
        <v>102</v>
      </c>
      <c r="C98" s="23">
        <v>2</v>
      </c>
      <c r="D98" s="23" t="s">
        <v>8</v>
      </c>
      <c r="E98" s="9"/>
      <c r="F98" s="9"/>
      <c r="G98" s="9"/>
      <c r="H98" s="9"/>
      <c r="I98" s="9"/>
      <c r="J98" s="10"/>
    </row>
    <row r="99" spans="1:10" x14ac:dyDescent="0.35">
      <c r="A99" s="11" t="s">
        <v>103</v>
      </c>
      <c r="B99" s="23"/>
      <c r="C99" s="9">
        <v>3</v>
      </c>
      <c r="D99" s="9" t="s">
        <v>8</v>
      </c>
      <c r="E99" s="9"/>
      <c r="F99" s="9"/>
      <c r="G99" s="9"/>
      <c r="H99" s="9"/>
      <c r="I99" s="9"/>
      <c r="J99" s="10"/>
    </row>
    <row r="100" spans="1:10" x14ac:dyDescent="0.35">
      <c r="A100" s="11" t="s">
        <v>104</v>
      </c>
      <c r="B100" s="23"/>
      <c r="C100" s="32">
        <v>2</v>
      </c>
      <c r="D100" s="9" t="s">
        <v>8</v>
      </c>
      <c r="E100" s="9"/>
      <c r="F100" s="9"/>
      <c r="G100" s="9"/>
      <c r="H100" s="9"/>
      <c r="I100" s="9"/>
      <c r="J100" s="10"/>
    </row>
    <row r="101" spans="1:10" x14ac:dyDescent="0.35">
      <c r="A101" s="11" t="s">
        <v>105</v>
      </c>
      <c r="B101" s="23" t="s">
        <v>106</v>
      </c>
      <c r="C101" s="32">
        <v>2</v>
      </c>
      <c r="D101" s="32" t="s">
        <v>8</v>
      </c>
      <c r="E101" s="9"/>
      <c r="F101" s="9"/>
      <c r="G101" s="9"/>
      <c r="H101" s="9"/>
      <c r="I101" s="9"/>
      <c r="J101" s="10"/>
    </row>
    <row r="102" spans="1:10" x14ac:dyDescent="0.35">
      <c r="A102" s="11" t="s">
        <v>112</v>
      </c>
      <c r="B102" s="23" t="s">
        <v>113</v>
      </c>
      <c r="C102" s="32" t="s">
        <v>114</v>
      </c>
      <c r="D102" s="32"/>
      <c r="E102" s="9"/>
      <c r="F102" s="9"/>
      <c r="G102" s="9"/>
      <c r="H102" s="9"/>
      <c r="I102" s="9"/>
      <c r="J102" s="10"/>
    </row>
    <row r="103" spans="1:10" x14ac:dyDescent="0.35">
      <c r="A103" s="13"/>
      <c r="B103" s="21"/>
      <c r="C103" s="9"/>
      <c r="D103" s="9"/>
      <c r="E103" s="9"/>
      <c r="F103" s="9"/>
      <c r="G103" s="9"/>
      <c r="H103" s="9"/>
      <c r="I103" s="9"/>
      <c r="J103" s="10"/>
    </row>
    <row r="104" spans="1:10" x14ac:dyDescent="0.35">
      <c r="A104" s="13" t="s">
        <v>9</v>
      </c>
      <c r="B104" s="9"/>
      <c r="C104" s="22" t="s">
        <v>12</v>
      </c>
      <c r="D104" s="22" t="s">
        <v>13</v>
      </c>
      <c r="E104" s="22" t="s">
        <v>14</v>
      </c>
      <c r="F104" s="22" t="s">
        <v>20</v>
      </c>
      <c r="G104" s="9"/>
      <c r="H104" s="9"/>
      <c r="I104" s="9"/>
      <c r="J104" s="10"/>
    </row>
    <row r="105" spans="1:10" x14ac:dyDescent="0.35">
      <c r="A105" s="8"/>
      <c r="B105" s="9"/>
      <c r="C105" s="28" t="s">
        <v>16</v>
      </c>
      <c r="D105" s="28" t="s">
        <v>16</v>
      </c>
      <c r="E105" s="28" t="s">
        <v>16</v>
      </c>
      <c r="F105" s="28" t="s">
        <v>10</v>
      </c>
      <c r="G105" s="82" t="s">
        <v>74</v>
      </c>
      <c r="H105" s="82"/>
      <c r="I105" s="80" t="s">
        <v>73</v>
      </c>
      <c r="J105" s="81"/>
    </row>
    <row r="106" spans="1:10" x14ac:dyDescent="0.35">
      <c r="A106" s="8" t="s">
        <v>11</v>
      </c>
      <c r="B106" s="9" t="s">
        <v>30</v>
      </c>
      <c r="C106" s="9">
        <v>4.0999999999999996</v>
      </c>
      <c r="D106" s="9">
        <v>3.6</v>
      </c>
      <c r="E106" s="9">
        <v>9.3249999999999993</v>
      </c>
      <c r="F106" s="35">
        <f>2*(C106+D106)*E106</f>
        <v>143.60499999999999</v>
      </c>
      <c r="G106" s="9" t="s">
        <v>48</v>
      </c>
      <c r="H106" s="9" t="s">
        <v>49</v>
      </c>
      <c r="I106" s="9" t="s">
        <v>65</v>
      </c>
      <c r="J106" s="10" t="s">
        <v>72</v>
      </c>
    </row>
    <row r="107" spans="1:10" x14ac:dyDescent="0.35">
      <c r="A107" s="8" t="s">
        <v>248</v>
      </c>
      <c r="B107" s="9" t="s">
        <v>30</v>
      </c>
      <c r="C107" s="9">
        <v>4.0999999999999996</v>
      </c>
      <c r="D107" s="9">
        <v>3.6</v>
      </c>
      <c r="E107" s="9">
        <v>8.3000000000000007</v>
      </c>
      <c r="F107" s="36">
        <f>2*(C107+D107)*E107-G107*H107-I107*J107</f>
        <v>123.02</v>
      </c>
      <c r="G107" s="32">
        <v>1</v>
      </c>
      <c r="H107" s="32">
        <v>3</v>
      </c>
      <c r="I107" s="32">
        <v>1</v>
      </c>
      <c r="J107" s="32">
        <v>1.8</v>
      </c>
    </row>
    <row r="108" spans="1:10" x14ac:dyDescent="0.35">
      <c r="A108" s="8" t="s">
        <v>51</v>
      </c>
      <c r="B108" s="9"/>
      <c r="C108" s="9">
        <v>4.0999999999999996</v>
      </c>
      <c r="D108" s="9">
        <v>3.6</v>
      </c>
      <c r="E108" s="9">
        <v>0.34</v>
      </c>
      <c r="G108" s="74">
        <f>2*(C108+D108)*E108</f>
        <v>5.2359999999999998</v>
      </c>
      <c r="H108" s="32"/>
      <c r="I108" s="32"/>
      <c r="J108" s="32"/>
    </row>
    <row r="109" spans="1:10" x14ac:dyDescent="0.35">
      <c r="A109" s="8" t="s">
        <v>1</v>
      </c>
      <c r="B109" s="9"/>
      <c r="C109" s="9">
        <v>3.5</v>
      </c>
      <c r="D109" s="9">
        <v>3</v>
      </c>
      <c r="E109" s="9"/>
      <c r="F109" s="36">
        <f>C109*D109-G109*H109</f>
        <v>8.34</v>
      </c>
      <c r="G109" s="22">
        <v>1.8</v>
      </c>
      <c r="H109" s="22">
        <v>1.2</v>
      </c>
      <c r="I109" s="9"/>
      <c r="J109" s="10"/>
    </row>
    <row r="110" spans="1:10" x14ac:dyDescent="0.35">
      <c r="A110" s="8" t="s">
        <v>59</v>
      </c>
      <c r="B110" s="9"/>
      <c r="C110" s="32">
        <v>3.5</v>
      </c>
      <c r="D110" s="32">
        <v>3</v>
      </c>
      <c r="E110" s="9"/>
      <c r="F110" s="36">
        <f>C110*D110-G110*H110-I110*J110+0.3*(G110+H110+I110+J110)*2</f>
        <v>10.979999999999999</v>
      </c>
      <c r="G110" s="22">
        <v>0.8</v>
      </c>
      <c r="H110" s="22">
        <v>0.8</v>
      </c>
      <c r="I110" s="9">
        <v>0.8</v>
      </c>
      <c r="J110" s="10">
        <v>1.6</v>
      </c>
    </row>
    <row r="111" spans="1:10" x14ac:dyDescent="0.35">
      <c r="A111" s="8" t="s">
        <v>60</v>
      </c>
      <c r="B111" s="9"/>
      <c r="C111" s="32">
        <v>4.0999999999999996</v>
      </c>
      <c r="D111" s="32">
        <v>3.6</v>
      </c>
      <c r="E111" s="9"/>
      <c r="F111" s="36">
        <f>C111*D111-G111*H111-I111*J111+0.3*(G111+H111+I111+J111)*2</f>
        <v>15.24</v>
      </c>
      <c r="G111" s="22">
        <v>0.8</v>
      </c>
      <c r="H111" s="22">
        <v>0.8</v>
      </c>
      <c r="I111" s="9">
        <v>0.8</v>
      </c>
      <c r="J111" s="10">
        <v>1.6</v>
      </c>
    </row>
    <row r="112" spans="1:10" x14ac:dyDescent="0.35">
      <c r="A112" s="8" t="s">
        <v>98</v>
      </c>
      <c r="B112" s="9"/>
      <c r="C112" s="32">
        <v>1</v>
      </c>
      <c r="D112" s="32">
        <v>1</v>
      </c>
      <c r="E112" s="9"/>
      <c r="F112" s="36">
        <f>C112*D112+G112*H112/2</f>
        <v>1.35</v>
      </c>
      <c r="G112" s="22">
        <v>1</v>
      </c>
      <c r="H112" s="22">
        <v>0.7</v>
      </c>
      <c r="I112" s="9"/>
      <c r="J112" s="10"/>
    </row>
    <row r="113" spans="1:12" x14ac:dyDescent="0.35">
      <c r="A113" s="8" t="s">
        <v>111</v>
      </c>
      <c r="B113" s="9">
        <v>2</v>
      </c>
      <c r="C113" s="32">
        <v>1</v>
      </c>
      <c r="D113" s="32"/>
      <c r="E113" s="9">
        <v>1.95</v>
      </c>
      <c r="F113" s="36">
        <f>B113*C113*E113</f>
        <v>3.9</v>
      </c>
      <c r="G113" s="22" t="s">
        <v>115</v>
      </c>
      <c r="H113" s="22"/>
      <c r="I113" s="9"/>
      <c r="J113" s="10"/>
    </row>
    <row r="114" spans="1:12" x14ac:dyDescent="0.35">
      <c r="A114" s="8" t="s">
        <v>110</v>
      </c>
      <c r="B114" s="9"/>
      <c r="C114" s="32">
        <v>1.31</v>
      </c>
      <c r="D114" s="32"/>
      <c r="E114" s="9">
        <v>1.2</v>
      </c>
      <c r="F114" s="37">
        <f>C114*E114-3.141/4*G114*G114</f>
        <v>1.2893100000000002</v>
      </c>
      <c r="G114" s="22">
        <v>0.6</v>
      </c>
      <c r="H114" s="22"/>
      <c r="I114" s="9"/>
      <c r="J114" s="10"/>
      <c r="L114" t="s">
        <v>67</v>
      </c>
    </row>
    <row r="115" spans="1:12" x14ac:dyDescent="0.35">
      <c r="A115" s="8"/>
      <c r="B115" s="9"/>
      <c r="C115" s="32"/>
      <c r="D115" s="32"/>
      <c r="E115" s="9"/>
      <c r="F115" s="34">
        <f>SUM(F106:F114)</f>
        <v>307.72431</v>
      </c>
      <c r="G115" s="22"/>
      <c r="H115" s="22"/>
      <c r="I115" s="9"/>
      <c r="J115" s="10"/>
    </row>
    <row r="116" spans="1:12" x14ac:dyDescent="0.35">
      <c r="A116" s="13" t="s">
        <v>129</v>
      </c>
      <c r="B116" s="9"/>
      <c r="C116" s="32"/>
      <c r="D116" s="32"/>
      <c r="E116" s="9"/>
      <c r="F116" s="34"/>
      <c r="G116" s="22"/>
      <c r="H116" s="22"/>
      <c r="I116" s="9"/>
      <c r="J116" s="10"/>
    </row>
    <row r="117" spans="1:12" x14ac:dyDescent="0.35">
      <c r="A117" s="13" t="s">
        <v>4</v>
      </c>
      <c r="B117" s="9"/>
      <c r="C117" s="32"/>
      <c r="D117" s="32"/>
      <c r="E117" s="9"/>
      <c r="F117" s="34">
        <f>F110</f>
        <v>10.979999999999999</v>
      </c>
      <c r="G117" s="22"/>
      <c r="H117" s="22"/>
      <c r="I117" s="9"/>
      <c r="J117" s="10"/>
    </row>
    <row r="118" spans="1:12" x14ac:dyDescent="0.35">
      <c r="A118" s="8" t="s">
        <v>130</v>
      </c>
      <c r="B118" s="9"/>
      <c r="C118" s="32"/>
      <c r="D118" s="32"/>
      <c r="E118" s="9"/>
      <c r="F118" s="54">
        <f>F106+F107</f>
        <v>266.625</v>
      </c>
      <c r="G118" s="22"/>
      <c r="H118" s="22"/>
      <c r="I118" s="9"/>
      <c r="J118" s="10"/>
    </row>
    <row r="119" spans="1:12" x14ac:dyDescent="0.35">
      <c r="A119" s="8" t="s">
        <v>99</v>
      </c>
      <c r="B119" s="9"/>
      <c r="C119" s="32"/>
      <c r="D119" s="32"/>
      <c r="E119" s="9"/>
      <c r="F119" s="55">
        <f>F113+F114</f>
        <v>5.1893099999999999</v>
      </c>
      <c r="G119" s="22"/>
      <c r="H119" s="22"/>
      <c r="I119" s="9"/>
      <c r="J119" s="10"/>
    </row>
    <row r="120" spans="1:12" x14ac:dyDescent="0.35">
      <c r="A120" s="8" t="s">
        <v>132</v>
      </c>
      <c r="B120" s="9"/>
      <c r="C120" s="32"/>
      <c r="D120" s="32"/>
      <c r="E120" s="9"/>
      <c r="F120" s="56">
        <f>D85*G85/2</f>
        <v>0.48999999999999994</v>
      </c>
      <c r="G120" s="22"/>
      <c r="H120" s="22"/>
      <c r="I120" s="9"/>
      <c r="J120" s="10"/>
    </row>
    <row r="121" spans="1:12" x14ac:dyDescent="0.35">
      <c r="A121" s="8"/>
      <c r="B121" s="9"/>
      <c r="C121" s="32"/>
      <c r="D121" s="32"/>
      <c r="E121" s="9"/>
      <c r="F121" s="34">
        <f>SUM(F118:F120)</f>
        <v>272.30430999999999</v>
      </c>
      <c r="G121" s="22"/>
      <c r="H121" s="22"/>
      <c r="I121" s="9"/>
      <c r="J121" s="10"/>
    </row>
    <row r="122" spans="1:12" x14ac:dyDescent="0.35">
      <c r="A122" s="8" t="s">
        <v>1</v>
      </c>
      <c r="B122" s="9"/>
      <c r="C122" s="32"/>
      <c r="D122" s="32"/>
      <c r="E122" s="9"/>
      <c r="F122" s="34">
        <f>2*(3.6+4.1)*0.3</f>
        <v>4.6199999999999992</v>
      </c>
      <c r="G122" s="22"/>
      <c r="H122" s="22"/>
      <c r="I122" s="9"/>
      <c r="J122" s="10"/>
    </row>
    <row r="123" spans="1:12" x14ac:dyDescent="0.35">
      <c r="A123" s="8"/>
      <c r="B123" s="9"/>
      <c r="C123" s="32"/>
      <c r="D123" s="32"/>
      <c r="E123" s="9"/>
      <c r="F123" s="34"/>
      <c r="G123" s="22"/>
      <c r="H123" s="22"/>
      <c r="I123" s="9"/>
      <c r="J123" s="10"/>
    </row>
    <row r="124" spans="1:12" x14ac:dyDescent="0.35">
      <c r="A124" s="13" t="s">
        <v>54</v>
      </c>
      <c r="B124" s="9"/>
      <c r="C124" s="22" t="s">
        <v>12</v>
      </c>
      <c r="D124" s="22" t="s">
        <v>13</v>
      </c>
      <c r="E124" s="22" t="s">
        <v>14</v>
      </c>
      <c r="F124" s="22" t="s">
        <v>20</v>
      </c>
      <c r="G124" s="22" t="s">
        <v>55</v>
      </c>
      <c r="H124" s="22" t="s">
        <v>1</v>
      </c>
      <c r="I124" s="22" t="s">
        <v>57</v>
      </c>
      <c r="J124" s="27" t="s">
        <v>77</v>
      </c>
    </row>
    <row r="125" spans="1:12" x14ac:dyDescent="0.35">
      <c r="A125" s="8"/>
      <c r="B125" s="9"/>
      <c r="C125" s="28" t="s">
        <v>16</v>
      </c>
      <c r="D125" s="28" t="s">
        <v>16</v>
      </c>
      <c r="E125" s="30" t="s">
        <v>16</v>
      </c>
      <c r="F125" s="28" t="s">
        <v>10</v>
      </c>
      <c r="G125" s="38" t="s">
        <v>56</v>
      </c>
      <c r="H125" s="38" t="s">
        <v>56</v>
      </c>
      <c r="I125" s="38" t="s">
        <v>16</v>
      </c>
      <c r="J125" s="29" t="s">
        <v>8</v>
      </c>
    </row>
    <row r="126" spans="1:12" x14ac:dyDescent="0.35">
      <c r="A126" s="46" t="s">
        <v>58</v>
      </c>
      <c r="B126" s="9"/>
      <c r="C126" s="9">
        <v>6.8</v>
      </c>
      <c r="D126" s="9">
        <v>6</v>
      </c>
      <c r="E126" s="21">
        <v>12.7</v>
      </c>
      <c r="F126" s="21">
        <f>(C126+D126)*2*E126</f>
        <v>325.12</v>
      </c>
      <c r="G126" s="9">
        <v>175.65</v>
      </c>
      <c r="H126" s="32">
        <v>163.5</v>
      </c>
      <c r="I126" s="9">
        <f>2*(C126+D126)</f>
        <v>25.6</v>
      </c>
      <c r="J126" s="42">
        <f>2*(C126+D126)/0.4</f>
        <v>64</v>
      </c>
    </row>
    <row r="127" spans="1:12" x14ac:dyDescent="0.35">
      <c r="A127" s="46"/>
      <c r="B127" s="9"/>
      <c r="C127" s="22" t="s">
        <v>12</v>
      </c>
      <c r="D127" s="22" t="s">
        <v>13</v>
      </c>
      <c r="E127" s="21"/>
      <c r="F127" s="22" t="s">
        <v>42</v>
      </c>
      <c r="G127" s="9"/>
      <c r="H127" s="32"/>
      <c r="I127" s="9"/>
      <c r="J127" s="10"/>
    </row>
    <row r="128" spans="1:12" x14ac:dyDescent="0.35">
      <c r="A128" s="46"/>
      <c r="B128" s="9"/>
      <c r="C128" s="31" t="s">
        <v>16</v>
      </c>
      <c r="D128" s="31" t="s">
        <v>16</v>
      </c>
      <c r="E128" s="21"/>
      <c r="F128" s="28" t="s">
        <v>16</v>
      </c>
      <c r="G128" s="9"/>
      <c r="H128" s="32"/>
      <c r="I128" s="9"/>
      <c r="J128" s="10"/>
    </row>
    <row r="129" spans="1:10" x14ac:dyDescent="0.35">
      <c r="A129" s="8" t="s">
        <v>75</v>
      </c>
      <c r="B129" s="9" t="s">
        <v>76</v>
      </c>
      <c r="C129" s="9">
        <v>6.6</v>
      </c>
      <c r="D129" s="9">
        <v>6</v>
      </c>
      <c r="E129" s="21"/>
      <c r="F129" s="21">
        <f>2*2*(C129+D129)</f>
        <v>50.4</v>
      </c>
      <c r="G129" s="9"/>
      <c r="H129" s="32"/>
      <c r="I129" s="9"/>
      <c r="J129" s="10"/>
    </row>
    <row r="130" spans="1:10" x14ac:dyDescent="0.35">
      <c r="A130" s="8" t="s">
        <v>78</v>
      </c>
      <c r="B130" s="9"/>
      <c r="C130" s="9"/>
      <c r="D130" s="9"/>
      <c r="E130" s="21"/>
      <c r="F130" s="21"/>
      <c r="G130" s="9"/>
      <c r="H130" s="32"/>
      <c r="I130" s="9"/>
      <c r="J130" s="10"/>
    </row>
    <row r="131" spans="1:10" x14ac:dyDescent="0.35">
      <c r="A131" s="13" t="s">
        <v>81</v>
      </c>
      <c r="B131" s="9"/>
      <c r="C131" s="22" t="s">
        <v>12</v>
      </c>
      <c r="D131" s="22" t="s">
        <v>13</v>
      </c>
      <c r="E131" s="22" t="s">
        <v>14</v>
      </c>
      <c r="F131" s="22" t="s">
        <v>24</v>
      </c>
      <c r="G131" s="22" t="s">
        <v>26</v>
      </c>
      <c r="H131" s="22" t="s">
        <v>1</v>
      </c>
      <c r="I131" s="22"/>
      <c r="J131" s="27"/>
    </row>
    <row r="132" spans="1:10" x14ac:dyDescent="0.35">
      <c r="A132" s="13"/>
      <c r="B132" s="9"/>
      <c r="C132" s="28" t="s">
        <v>16</v>
      </c>
      <c r="D132" s="28" t="s">
        <v>16</v>
      </c>
      <c r="E132" s="28" t="s">
        <v>16</v>
      </c>
      <c r="F132" s="28" t="s">
        <v>33</v>
      </c>
      <c r="G132" s="28" t="s">
        <v>2</v>
      </c>
      <c r="H132" s="28" t="s">
        <v>10</v>
      </c>
      <c r="I132" s="28"/>
      <c r="J132" s="29"/>
    </row>
    <row r="133" spans="1:10" x14ac:dyDescent="0.35">
      <c r="A133" s="8" t="s">
        <v>45</v>
      </c>
      <c r="B133" s="9"/>
      <c r="C133" s="9">
        <v>6.6</v>
      </c>
      <c r="D133" s="9">
        <v>6</v>
      </c>
      <c r="E133" s="9">
        <v>9.2200000000000006</v>
      </c>
      <c r="F133" s="50" t="s">
        <v>33</v>
      </c>
      <c r="G133" s="12">
        <f>H133*E133</f>
        <v>365.11199999999997</v>
      </c>
      <c r="H133" s="33">
        <f>C133*D133</f>
        <v>39.599999999999994</v>
      </c>
      <c r="I133" s="33"/>
      <c r="J133" s="48"/>
    </row>
    <row r="134" spans="1:10" x14ac:dyDescent="0.35">
      <c r="A134" s="14" t="s">
        <v>80</v>
      </c>
      <c r="B134" s="15"/>
      <c r="C134" s="15"/>
      <c r="D134" s="15"/>
      <c r="E134" s="15"/>
      <c r="F134" s="15"/>
      <c r="G134" s="69">
        <f>G133-F78-F79-C80*D80*E81</f>
        <v>232.40399999999997</v>
      </c>
      <c r="H134" s="15"/>
      <c r="I134" s="15">
        <f>C80*D80*E81</f>
        <v>122.50800000000001</v>
      </c>
      <c r="J134" s="18"/>
    </row>
    <row r="135" spans="1:10" x14ac:dyDescent="0.35">
      <c r="A135" s="9"/>
      <c r="B135" s="9"/>
      <c r="C135" s="9"/>
      <c r="D135" s="9"/>
      <c r="E135" s="9"/>
      <c r="F135" s="9"/>
      <c r="G135" s="9"/>
      <c r="H135" s="9"/>
      <c r="I135" s="9"/>
      <c r="J135" s="9"/>
    </row>
    <row r="136" spans="1:10" x14ac:dyDescent="0.35">
      <c r="A136" s="1" t="s">
        <v>79</v>
      </c>
    </row>
    <row r="137" spans="1:10" x14ac:dyDescent="0.35">
      <c r="A137" s="70" t="s">
        <v>21</v>
      </c>
      <c r="B137" s="6" t="s">
        <v>140</v>
      </c>
      <c r="C137" s="6">
        <v>11.65</v>
      </c>
      <c r="D137" s="6">
        <v>3.5</v>
      </c>
      <c r="E137" s="6">
        <v>0.1</v>
      </c>
      <c r="F137" s="35">
        <f>C137*D137*E137</f>
        <v>4.0774999999999997</v>
      </c>
      <c r="G137" s="6"/>
      <c r="H137" s="6"/>
      <c r="I137" s="6"/>
      <c r="J137" s="7"/>
    </row>
    <row r="138" spans="1:10" x14ac:dyDescent="0.35">
      <c r="A138" s="11"/>
      <c r="B138" s="9" t="s">
        <v>141</v>
      </c>
      <c r="C138" s="9">
        <f>(C155+C156)/2+0.5</f>
        <v>5.2610000000000001</v>
      </c>
      <c r="D138" s="9">
        <v>3.9</v>
      </c>
      <c r="E138" s="9">
        <v>0.1</v>
      </c>
      <c r="F138" s="37">
        <f>C138*D138*E138</f>
        <v>2.05179</v>
      </c>
      <c r="G138" s="9"/>
      <c r="H138" s="9"/>
      <c r="I138" s="9"/>
      <c r="J138" s="10"/>
    </row>
    <row r="139" spans="1:10" x14ac:dyDescent="0.35">
      <c r="A139" s="11"/>
      <c r="B139" s="9"/>
      <c r="C139" s="9"/>
      <c r="D139" s="9"/>
      <c r="E139" s="9"/>
      <c r="F139" s="34">
        <f>SUM(F137:F138)</f>
        <v>6.1292899999999992</v>
      </c>
      <c r="G139" s="9"/>
      <c r="H139" s="9"/>
      <c r="I139" s="9"/>
      <c r="J139" s="10"/>
    </row>
    <row r="140" spans="1:10" x14ac:dyDescent="0.35">
      <c r="A140" s="11" t="s">
        <v>18</v>
      </c>
      <c r="B140" s="9" t="s">
        <v>140</v>
      </c>
      <c r="C140" s="9">
        <v>11.65</v>
      </c>
      <c r="D140" s="9">
        <v>3.5</v>
      </c>
      <c r="E140" s="9">
        <v>0.15</v>
      </c>
      <c r="F140" s="35">
        <f>C140*D140*E140</f>
        <v>6.11625</v>
      </c>
      <c r="G140" s="9"/>
      <c r="H140" s="9"/>
      <c r="I140" s="9"/>
      <c r="J140" s="10"/>
    </row>
    <row r="141" spans="1:10" x14ac:dyDescent="0.35">
      <c r="A141" s="13"/>
      <c r="B141" s="9" t="s">
        <v>141</v>
      </c>
      <c r="C141" s="9">
        <f>(C158+C159)/2+0.5</f>
        <v>1.425</v>
      </c>
      <c r="D141" s="9">
        <v>3.9</v>
      </c>
      <c r="E141" s="9">
        <v>0.15</v>
      </c>
      <c r="F141" s="37">
        <f>C141*D141*E141</f>
        <v>0.83362499999999995</v>
      </c>
      <c r="G141" s="9"/>
      <c r="H141" s="9"/>
      <c r="I141" s="9"/>
      <c r="J141" s="10"/>
    </row>
    <row r="142" spans="1:10" x14ac:dyDescent="0.35">
      <c r="A142" s="13"/>
      <c r="B142" s="9"/>
      <c r="C142" s="9"/>
      <c r="D142" s="9"/>
      <c r="E142" s="9" t="s">
        <v>67</v>
      </c>
      <c r="F142" s="34">
        <f>SUM(F140:F141)</f>
        <v>6.9498749999999996</v>
      </c>
      <c r="G142" s="9"/>
      <c r="H142" s="9"/>
      <c r="I142" s="9"/>
      <c r="J142" s="10"/>
    </row>
    <row r="143" spans="1:10" x14ac:dyDescent="0.35">
      <c r="A143" s="13"/>
      <c r="B143" s="9"/>
      <c r="C143" s="9"/>
      <c r="D143" s="9"/>
      <c r="E143" s="9"/>
      <c r="F143" s="9"/>
      <c r="G143" s="9"/>
      <c r="H143" s="9"/>
      <c r="I143" s="9"/>
      <c r="J143" s="10"/>
    </row>
    <row r="144" spans="1:10" x14ac:dyDescent="0.35">
      <c r="A144" s="8" t="s">
        <v>82</v>
      </c>
      <c r="B144" s="9"/>
      <c r="C144" s="9">
        <v>4.2</v>
      </c>
      <c r="D144" s="9">
        <v>2.2000000000000002</v>
      </c>
      <c r="E144" s="9">
        <v>0.3</v>
      </c>
      <c r="F144" s="35">
        <f>C144*D144*E144</f>
        <v>2.7720000000000007</v>
      </c>
      <c r="G144" s="9"/>
      <c r="H144" s="9"/>
      <c r="I144" s="9"/>
      <c r="J144" s="10"/>
    </row>
    <row r="145" spans="1:10" x14ac:dyDescent="0.35">
      <c r="A145" s="8" t="s">
        <v>83</v>
      </c>
      <c r="B145" s="9"/>
      <c r="C145" s="9">
        <v>2.95</v>
      </c>
      <c r="D145" s="9">
        <v>2.5</v>
      </c>
      <c r="E145" s="9">
        <v>0.3</v>
      </c>
      <c r="F145" s="36">
        <f>C145*D145*E145</f>
        <v>2.2124999999999999</v>
      </c>
      <c r="G145" s="9"/>
      <c r="H145" s="9"/>
      <c r="I145" s="9"/>
      <c r="J145" s="10"/>
    </row>
    <row r="146" spans="1:10" x14ac:dyDescent="0.35">
      <c r="A146" s="8" t="s">
        <v>84</v>
      </c>
      <c r="B146" s="9"/>
      <c r="C146" s="9">
        <v>3.137</v>
      </c>
      <c r="D146" s="9">
        <v>2.5</v>
      </c>
      <c r="E146" s="9">
        <v>0.3</v>
      </c>
      <c r="F146" s="36">
        <f>C146*D146*E146</f>
        <v>2.3527499999999999</v>
      </c>
      <c r="G146" s="9" t="s">
        <v>43</v>
      </c>
      <c r="H146" s="9" t="s">
        <v>44</v>
      </c>
      <c r="I146" s="9" t="s">
        <v>86</v>
      </c>
      <c r="J146" s="10"/>
    </row>
    <row r="147" spans="1:10" x14ac:dyDescent="0.35">
      <c r="A147" s="8" t="s">
        <v>85</v>
      </c>
      <c r="B147" s="9"/>
      <c r="C147" s="9">
        <f>((3.972+0.191)+(5.168+0.191))/2</f>
        <v>4.7610000000000001</v>
      </c>
      <c r="D147" s="9">
        <v>2.9</v>
      </c>
      <c r="E147" s="9">
        <v>0.3</v>
      </c>
      <c r="F147" s="36">
        <f>C147*D147*E147</f>
        <v>4.1420700000000004</v>
      </c>
      <c r="G147" s="9">
        <v>3.972</v>
      </c>
      <c r="H147" s="9">
        <v>5.1680000000000001</v>
      </c>
      <c r="I147" s="9">
        <v>0.191</v>
      </c>
      <c r="J147" s="10"/>
    </row>
    <row r="148" spans="1:10" x14ac:dyDescent="0.35">
      <c r="A148" s="8" t="s">
        <v>87</v>
      </c>
      <c r="B148" s="9">
        <v>2</v>
      </c>
      <c r="C148" s="9">
        <v>4.2</v>
      </c>
      <c r="D148" s="9">
        <v>2</v>
      </c>
      <c r="E148" s="9">
        <v>0.3</v>
      </c>
      <c r="F148" s="36">
        <f>C148*D148*E148*B148</f>
        <v>5.04</v>
      </c>
      <c r="G148" s="9"/>
      <c r="H148" s="9"/>
      <c r="I148" s="9"/>
      <c r="J148" s="10"/>
    </row>
    <row r="149" spans="1:10" x14ac:dyDescent="0.35">
      <c r="A149" s="8" t="s">
        <v>88</v>
      </c>
      <c r="B149" s="9">
        <v>1</v>
      </c>
      <c r="C149" s="9">
        <v>4.2</v>
      </c>
      <c r="D149" s="9">
        <v>2</v>
      </c>
      <c r="E149" s="9">
        <v>0.3</v>
      </c>
      <c r="F149" s="36">
        <f>C149*D149*E149*B149</f>
        <v>2.52</v>
      </c>
      <c r="G149" s="22" t="s">
        <v>90</v>
      </c>
      <c r="H149" s="22" t="s">
        <v>91</v>
      </c>
      <c r="I149" s="9"/>
      <c r="J149" s="10"/>
    </row>
    <row r="150" spans="1:10" x14ac:dyDescent="0.35">
      <c r="A150" s="8" t="s">
        <v>89</v>
      </c>
      <c r="B150" s="9">
        <v>1</v>
      </c>
      <c r="C150" s="9">
        <v>1.6</v>
      </c>
      <c r="D150" s="9">
        <v>2</v>
      </c>
      <c r="E150" s="9">
        <v>3</v>
      </c>
      <c r="F150" s="36">
        <f>C150*D150*E150*B150-(3.141/4*G150*G150+3.141/4*H150*H150)*0.3</f>
        <v>9.4562992500000007</v>
      </c>
      <c r="G150" s="9">
        <v>0.6</v>
      </c>
      <c r="H150" s="9">
        <v>0.5</v>
      </c>
      <c r="I150" s="9"/>
      <c r="J150" s="10"/>
    </row>
    <row r="151" spans="1:10" x14ac:dyDescent="0.35">
      <c r="A151" s="8" t="s">
        <v>92</v>
      </c>
      <c r="B151" s="9">
        <v>2</v>
      </c>
      <c r="C151" s="9">
        <v>2.95</v>
      </c>
      <c r="D151" s="9">
        <v>2</v>
      </c>
      <c r="E151" s="9">
        <v>0.3</v>
      </c>
      <c r="F151" s="36">
        <f>C151*D151*E151*B151</f>
        <v>3.54</v>
      </c>
      <c r="G151" s="9" t="s">
        <v>48</v>
      </c>
      <c r="H151" s="9" t="s">
        <v>49</v>
      </c>
      <c r="I151" s="9" t="s">
        <v>65</v>
      </c>
      <c r="J151" s="10" t="s">
        <v>72</v>
      </c>
    </row>
    <row r="152" spans="1:10" x14ac:dyDescent="0.35">
      <c r="A152" s="8" t="s">
        <v>93</v>
      </c>
      <c r="B152" s="9">
        <v>1</v>
      </c>
      <c r="C152" s="9">
        <v>1.9</v>
      </c>
      <c r="D152" s="9">
        <v>2</v>
      </c>
      <c r="E152" s="9">
        <v>0.3</v>
      </c>
      <c r="F152" s="58">
        <f>(C152*D152-G152*H152-I152*J152)*E152</f>
        <v>0.82799999999999996</v>
      </c>
      <c r="G152" s="9">
        <v>0.8</v>
      </c>
      <c r="H152" s="9">
        <v>0.8</v>
      </c>
      <c r="I152" s="9">
        <v>0.5</v>
      </c>
      <c r="J152" s="10">
        <v>0.8</v>
      </c>
    </row>
    <row r="153" spans="1:10" x14ac:dyDescent="0.35">
      <c r="A153" s="8" t="s">
        <v>94</v>
      </c>
      <c r="B153" s="9">
        <v>1</v>
      </c>
      <c r="C153" s="9">
        <v>1.9</v>
      </c>
      <c r="D153" s="9">
        <v>0.435</v>
      </c>
      <c r="E153" s="9">
        <v>0.3</v>
      </c>
      <c r="F153" s="36">
        <f t="shared" ref="F153:F160" si="1">C153*D153*E153</f>
        <v>0.24795</v>
      </c>
      <c r="G153" s="9"/>
      <c r="H153" s="9"/>
      <c r="I153" s="9"/>
      <c r="J153" s="10"/>
    </row>
    <row r="154" spans="1:10" x14ac:dyDescent="0.35">
      <c r="A154" s="8" t="s">
        <v>95</v>
      </c>
      <c r="B154" s="9">
        <v>1</v>
      </c>
      <c r="C154" s="9">
        <v>2.5</v>
      </c>
      <c r="D154" s="9">
        <v>2</v>
      </c>
      <c r="E154" s="9">
        <v>0.3</v>
      </c>
      <c r="F154" s="36">
        <f t="shared" si="1"/>
        <v>1.5</v>
      </c>
      <c r="G154" s="9"/>
      <c r="H154" s="9"/>
      <c r="I154" s="9"/>
      <c r="J154" s="10"/>
    </row>
    <row r="155" spans="1:10" x14ac:dyDescent="0.35">
      <c r="A155" s="8" t="s">
        <v>97</v>
      </c>
      <c r="B155" s="9">
        <v>1</v>
      </c>
      <c r="C155" s="9">
        <f>3.972+0.191</f>
        <v>4.1630000000000003</v>
      </c>
      <c r="D155" s="9">
        <v>2.12</v>
      </c>
      <c r="E155" s="9">
        <v>0.3</v>
      </c>
      <c r="F155" s="36">
        <f t="shared" si="1"/>
        <v>2.6476680000000004</v>
      </c>
      <c r="G155" s="9"/>
      <c r="H155" s="9"/>
      <c r="I155" s="9"/>
      <c r="J155" s="10"/>
    </row>
    <row r="156" spans="1:10" x14ac:dyDescent="0.35">
      <c r="A156" s="8" t="s">
        <v>96</v>
      </c>
      <c r="B156" s="9">
        <v>1</v>
      </c>
      <c r="C156" s="9">
        <f>5.168+0.191</f>
        <v>5.359</v>
      </c>
      <c r="D156" s="9">
        <v>2.12</v>
      </c>
      <c r="E156" s="9">
        <v>0.3</v>
      </c>
      <c r="F156" s="36">
        <f t="shared" si="1"/>
        <v>3.4083240000000004</v>
      </c>
      <c r="G156" s="9"/>
      <c r="H156" s="9"/>
      <c r="I156" s="9"/>
      <c r="J156" s="10"/>
    </row>
    <row r="157" spans="1:10" x14ac:dyDescent="0.35">
      <c r="A157" s="8" t="s">
        <v>133</v>
      </c>
      <c r="B157" s="9">
        <v>1</v>
      </c>
      <c r="C157" s="9">
        <v>2.5369999999999999</v>
      </c>
      <c r="D157" s="9">
        <v>0.435</v>
      </c>
      <c r="E157" s="9">
        <v>0.3</v>
      </c>
      <c r="F157" s="36">
        <f t="shared" si="1"/>
        <v>0.33107849999999994</v>
      </c>
      <c r="G157" s="9"/>
      <c r="H157" s="9"/>
      <c r="I157" s="9"/>
      <c r="J157" s="10"/>
    </row>
    <row r="158" spans="1:10" x14ac:dyDescent="0.35">
      <c r="A158" s="8" t="s">
        <v>134</v>
      </c>
      <c r="B158" s="9">
        <v>1</v>
      </c>
      <c r="C158" s="9">
        <v>0.8</v>
      </c>
      <c r="D158" s="9">
        <v>0.5</v>
      </c>
      <c r="E158" s="9">
        <v>0.3</v>
      </c>
      <c r="F158" s="57">
        <f t="shared" si="1"/>
        <v>0.12</v>
      </c>
      <c r="G158" s="9"/>
      <c r="H158" s="9"/>
      <c r="I158" s="9"/>
      <c r="J158" s="10"/>
    </row>
    <row r="159" spans="1:10" x14ac:dyDescent="0.35">
      <c r="A159" s="8" t="s">
        <v>135</v>
      </c>
      <c r="B159" s="9">
        <v>1</v>
      </c>
      <c r="C159" s="9">
        <v>1.05</v>
      </c>
      <c r="D159" s="9">
        <v>0.5</v>
      </c>
      <c r="E159" s="9">
        <v>0.3</v>
      </c>
      <c r="F159" s="57">
        <f t="shared" si="1"/>
        <v>0.1575</v>
      </c>
      <c r="G159" s="9"/>
      <c r="H159" s="9"/>
      <c r="I159" s="9"/>
      <c r="J159" s="10"/>
    </row>
    <row r="160" spans="1:10" x14ac:dyDescent="0.35">
      <c r="A160" s="8" t="s">
        <v>136</v>
      </c>
      <c r="B160" s="9">
        <v>1</v>
      </c>
      <c r="C160" s="9">
        <v>1.05</v>
      </c>
      <c r="D160" s="9">
        <v>0.8</v>
      </c>
      <c r="E160" s="9">
        <v>0.3</v>
      </c>
      <c r="F160" s="57">
        <f t="shared" si="1"/>
        <v>0.252</v>
      </c>
      <c r="G160" s="22" t="s">
        <v>48</v>
      </c>
      <c r="H160" s="22" t="s">
        <v>49</v>
      </c>
      <c r="I160" s="22" t="s">
        <v>65</v>
      </c>
      <c r="J160" s="27" t="s">
        <v>72</v>
      </c>
    </row>
    <row r="161" spans="1:10" x14ac:dyDescent="0.35">
      <c r="A161" s="8" t="s">
        <v>137</v>
      </c>
      <c r="B161" s="9">
        <v>1</v>
      </c>
      <c r="C161" s="9">
        <v>6.1</v>
      </c>
      <c r="D161" s="9">
        <v>2.5</v>
      </c>
      <c r="E161" s="9">
        <v>0.3</v>
      </c>
      <c r="F161" s="57">
        <f>C161*D161*E161-G161*H161-I161*J161</f>
        <v>1.1350000000000002</v>
      </c>
      <c r="G161" s="9">
        <v>0.8</v>
      </c>
      <c r="H161" s="9">
        <v>0.8</v>
      </c>
      <c r="I161" s="9">
        <v>2</v>
      </c>
      <c r="J161" s="10">
        <v>1.4</v>
      </c>
    </row>
    <row r="162" spans="1:10" x14ac:dyDescent="0.35">
      <c r="A162" s="8" t="s">
        <v>138</v>
      </c>
      <c r="B162" s="9">
        <v>1</v>
      </c>
      <c r="C162" s="9">
        <f>(C155+C156)/2</f>
        <v>4.7610000000000001</v>
      </c>
      <c r="D162" s="9">
        <v>2.9</v>
      </c>
      <c r="E162" s="9">
        <v>0.3</v>
      </c>
      <c r="F162" s="57">
        <f>C162*D162*E162-G162*H162-I162*J162</f>
        <v>0.77207000000000026</v>
      </c>
      <c r="G162" s="9">
        <v>0.8</v>
      </c>
      <c r="H162" s="9">
        <v>0.8</v>
      </c>
      <c r="I162" s="9">
        <v>1.95</v>
      </c>
      <c r="J162" s="10">
        <v>1.4</v>
      </c>
    </row>
    <row r="163" spans="1:10" x14ac:dyDescent="0.35">
      <c r="A163" s="8" t="s">
        <v>139</v>
      </c>
      <c r="B163" s="9">
        <v>1</v>
      </c>
      <c r="C163" s="9">
        <v>4.0999999999999996</v>
      </c>
      <c r="D163" s="9">
        <v>0.2</v>
      </c>
      <c r="E163" s="9">
        <v>0.65</v>
      </c>
      <c r="F163" s="59">
        <f>C163*D163*E163</f>
        <v>0.53300000000000003</v>
      </c>
      <c r="G163" s="9"/>
      <c r="H163" s="9"/>
      <c r="I163" s="9"/>
      <c r="J163" s="10"/>
    </row>
    <row r="164" spans="1:10" x14ac:dyDescent="0.35">
      <c r="A164" s="13" t="s">
        <v>6</v>
      </c>
      <c r="B164" s="9" t="s">
        <v>29</v>
      </c>
      <c r="C164" s="9"/>
      <c r="D164" s="9"/>
      <c r="E164" s="9"/>
      <c r="F164" s="33">
        <f>SUM(F144:F163)</f>
        <v>43.968209750000007</v>
      </c>
      <c r="G164" s="9"/>
      <c r="H164" s="9"/>
      <c r="I164" s="9"/>
      <c r="J164" s="10"/>
    </row>
    <row r="165" spans="1:10" x14ac:dyDescent="0.35">
      <c r="A165" s="8"/>
      <c r="B165" s="9"/>
      <c r="C165" s="9"/>
      <c r="D165" s="9"/>
      <c r="E165" s="9"/>
      <c r="F165" s="9"/>
      <c r="G165" s="9"/>
      <c r="H165" s="9"/>
      <c r="I165" s="9"/>
      <c r="J165" s="10"/>
    </row>
    <row r="166" spans="1:10" x14ac:dyDescent="0.35">
      <c r="A166" s="13" t="s">
        <v>5</v>
      </c>
      <c r="B166" s="21"/>
      <c r="C166" s="9"/>
      <c r="D166" s="9"/>
      <c r="E166" s="9"/>
      <c r="F166" s="9"/>
      <c r="G166" s="9"/>
      <c r="H166" s="9"/>
      <c r="I166" s="9"/>
      <c r="J166" s="10"/>
    </row>
    <row r="167" spans="1:10" x14ac:dyDescent="0.35">
      <c r="A167" s="11" t="s">
        <v>101</v>
      </c>
      <c r="B167" s="23" t="s">
        <v>102</v>
      </c>
      <c r="C167" s="23">
        <v>2</v>
      </c>
      <c r="D167" s="23" t="s">
        <v>8</v>
      </c>
      <c r="E167" s="9"/>
      <c r="F167" s="9"/>
      <c r="G167" s="9"/>
      <c r="H167" s="9"/>
      <c r="I167" s="9"/>
      <c r="J167" s="10"/>
    </row>
    <row r="168" spans="1:10" x14ac:dyDescent="0.35">
      <c r="A168" s="11" t="s">
        <v>101</v>
      </c>
      <c r="B168" s="9" t="s">
        <v>142</v>
      </c>
      <c r="C168" s="9" t="s">
        <v>144</v>
      </c>
      <c r="D168" s="9"/>
      <c r="E168" s="9"/>
      <c r="F168" s="9"/>
      <c r="G168" s="9"/>
      <c r="H168" s="9"/>
      <c r="I168" s="9"/>
      <c r="J168" s="10"/>
    </row>
    <row r="169" spans="1:10" x14ac:dyDescent="0.35">
      <c r="A169" s="11" t="s">
        <v>101</v>
      </c>
      <c r="B169" s="9" t="s">
        <v>143</v>
      </c>
      <c r="C169" s="9" t="s">
        <v>145</v>
      </c>
      <c r="D169" s="9"/>
      <c r="E169" s="9"/>
      <c r="F169" s="9"/>
      <c r="G169" s="9"/>
      <c r="H169" s="9"/>
      <c r="I169" s="9"/>
      <c r="J169" s="10"/>
    </row>
    <row r="170" spans="1:10" x14ac:dyDescent="0.35">
      <c r="A170" s="8"/>
      <c r="B170" s="9"/>
      <c r="C170" s="9"/>
      <c r="D170" s="9"/>
      <c r="E170" s="9"/>
      <c r="F170" s="9"/>
      <c r="G170" s="9"/>
      <c r="H170" s="9"/>
      <c r="I170" s="9"/>
      <c r="J170" s="10"/>
    </row>
    <row r="171" spans="1:10" x14ac:dyDescent="0.35">
      <c r="A171" s="13" t="s">
        <v>146</v>
      </c>
      <c r="B171" s="9"/>
      <c r="C171" s="9"/>
      <c r="D171" s="9"/>
      <c r="E171" s="9"/>
      <c r="F171" s="9"/>
      <c r="G171" s="9" t="s">
        <v>149</v>
      </c>
      <c r="H171" s="9"/>
      <c r="I171" s="9"/>
      <c r="J171" s="10"/>
    </row>
    <row r="172" spans="1:10" x14ac:dyDescent="0.35">
      <c r="A172" s="8" t="s">
        <v>147</v>
      </c>
      <c r="B172" s="9"/>
      <c r="C172" s="9">
        <v>4.2</v>
      </c>
      <c r="D172" s="9">
        <v>0.15</v>
      </c>
      <c r="E172" s="9">
        <v>0.15</v>
      </c>
      <c r="F172" s="64">
        <f>C172*D172*E172</f>
        <v>9.4500000000000001E-2</v>
      </c>
      <c r="G172" s="9"/>
      <c r="H172" s="9"/>
      <c r="I172" s="9"/>
      <c r="J172" s="10"/>
    </row>
    <row r="173" spans="1:10" x14ac:dyDescent="0.35">
      <c r="A173" s="8" t="s">
        <v>148</v>
      </c>
      <c r="B173" s="9"/>
      <c r="C173" s="9">
        <v>3.95</v>
      </c>
      <c r="D173" s="9">
        <v>0.3</v>
      </c>
      <c r="E173" s="9">
        <v>0.3</v>
      </c>
      <c r="F173" s="65">
        <f>C173*D173*E173</f>
        <v>0.35549999999999998</v>
      </c>
      <c r="G173" s="9"/>
      <c r="H173" s="9"/>
      <c r="I173" s="9"/>
      <c r="J173" s="10"/>
    </row>
    <row r="174" spans="1:10" x14ac:dyDescent="0.35">
      <c r="A174" s="8" t="s">
        <v>150</v>
      </c>
      <c r="B174" s="9"/>
      <c r="C174" s="9">
        <v>4.2</v>
      </c>
      <c r="D174" s="9">
        <v>0.8</v>
      </c>
      <c r="E174" s="9">
        <v>4.4999999999999998E-2</v>
      </c>
      <c r="F174" s="65">
        <f>C174*D174*E174</f>
        <v>0.1512</v>
      </c>
      <c r="G174" s="9"/>
      <c r="H174" s="9"/>
      <c r="I174" s="9"/>
      <c r="J174" s="10"/>
    </row>
    <row r="175" spans="1:10" x14ac:dyDescent="0.35">
      <c r="A175" s="8" t="s">
        <v>151</v>
      </c>
      <c r="B175" s="9"/>
      <c r="C175" s="9">
        <v>2.54</v>
      </c>
      <c r="D175" s="9">
        <v>1.9</v>
      </c>
      <c r="E175" s="9">
        <v>0.7</v>
      </c>
      <c r="F175" s="65">
        <f>C175*D175*E175-(C175*D175+G175*H175)/2*E175</f>
        <v>1.3811</v>
      </c>
      <c r="G175" s="9">
        <v>0.8</v>
      </c>
      <c r="H175" s="9">
        <v>1.1000000000000001</v>
      </c>
      <c r="I175" s="9"/>
      <c r="J175" s="10"/>
    </row>
    <row r="176" spans="1:10" x14ac:dyDescent="0.35">
      <c r="A176" s="8" t="s">
        <v>152</v>
      </c>
      <c r="B176" s="9"/>
      <c r="C176" s="9">
        <v>3.09</v>
      </c>
      <c r="D176" s="9">
        <v>2.2999999999999998</v>
      </c>
      <c r="E176" s="9">
        <v>0.55000000000000004</v>
      </c>
      <c r="F176" s="65">
        <f>C176*D176*E176-(C176*D176+G176*H176)/2*E176</f>
        <v>1.4718000000000004</v>
      </c>
      <c r="G176" s="9">
        <v>0.9</v>
      </c>
      <c r="H176" s="9">
        <v>1.95</v>
      </c>
      <c r="I176" s="9"/>
      <c r="J176" s="10"/>
    </row>
    <row r="177" spans="1:10" x14ac:dyDescent="0.35">
      <c r="A177" s="8" t="s">
        <v>153</v>
      </c>
      <c r="B177" s="9"/>
      <c r="C177" s="9">
        <v>2.2999999999999998</v>
      </c>
      <c r="D177" s="9">
        <v>0.15</v>
      </c>
      <c r="E177" s="9">
        <v>0.43</v>
      </c>
      <c r="F177" s="65">
        <f>C177*D177*E177</f>
        <v>0.14834999999999998</v>
      </c>
      <c r="G177" s="9"/>
      <c r="H177" s="9"/>
      <c r="I177" s="9"/>
      <c r="J177" s="10"/>
    </row>
    <row r="178" spans="1:10" x14ac:dyDescent="0.35">
      <c r="A178" s="8" t="s">
        <v>154</v>
      </c>
      <c r="B178" s="9"/>
      <c r="C178" s="9">
        <v>2.2999999999999998</v>
      </c>
      <c r="D178" s="9">
        <v>0.35</v>
      </c>
      <c r="E178" s="9">
        <v>0.43</v>
      </c>
      <c r="F178" s="65">
        <f>C178*D178*E178-(C178*D178-(C178*D178-G178*H178))*E178</f>
        <v>5.6846000000000008E-2</v>
      </c>
      <c r="G178" s="9">
        <v>0.57999999999999996</v>
      </c>
      <c r="H178" s="9">
        <v>1.1599999999999999</v>
      </c>
      <c r="I178" s="9"/>
      <c r="J178" s="10"/>
    </row>
    <row r="179" spans="1:10" x14ac:dyDescent="0.35">
      <c r="A179" s="8" t="s">
        <v>155</v>
      </c>
      <c r="B179" s="9"/>
      <c r="C179" s="9">
        <v>3.14</v>
      </c>
      <c r="D179" s="9">
        <v>2.68</v>
      </c>
      <c r="E179" s="9">
        <v>0.45</v>
      </c>
      <c r="F179" s="66">
        <f>C179*D179*E179-(C179*D179-(C179*D179-G179*H179))*E179</f>
        <v>3.7868400000000002</v>
      </c>
      <c r="G179" s="9"/>
      <c r="H179" s="9"/>
      <c r="I179" s="9"/>
      <c r="J179" s="10"/>
    </row>
    <row r="180" spans="1:10" x14ac:dyDescent="0.35">
      <c r="A180" s="8"/>
      <c r="B180" s="9"/>
      <c r="C180" s="9"/>
      <c r="D180" s="9"/>
      <c r="E180" s="9"/>
      <c r="F180" s="34">
        <f>SUM(F172:F179)</f>
        <v>7.446136000000001</v>
      </c>
      <c r="G180" s="9"/>
      <c r="H180" s="9"/>
      <c r="I180" s="9"/>
      <c r="J180" s="10"/>
    </row>
    <row r="181" spans="1:10" x14ac:dyDescent="0.35">
      <c r="A181" s="13" t="s">
        <v>50</v>
      </c>
      <c r="B181" s="9"/>
      <c r="C181" s="9"/>
      <c r="D181" s="9"/>
      <c r="E181" s="9"/>
      <c r="F181" s="9"/>
      <c r="G181" s="9"/>
      <c r="H181" s="9"/>
      <c r="I181" s="9"/>
      <c r="J181" s="10"/>
    </row>
    <row r="182" spans="1:10" x14ac:dyDescent="0.35">
      <c r="A182" s="13" t="s">
        <v>178</v>
      </c>
      <c r="B182" s="9" t="s">
        <v>179</v>
      </c>
      <c r="C182" s="9">
        <v>0.8</v>
      </c>
      <c r="D182" s="9">
        <v>0.5</v>
      </c>
      <c r="E182" s="9"/>
      <c r="F182" s="64">
        <f>C182*D182</f>
        <v>0.4</v>
      </c>
      <c r="G182" s="9"/>
      <c r="H182" s="9"/>
      <c r="I182" s="9"/>
      <c r="J182" s="10"/>
    </row>
    <row r="183" spans="1:10" x14ac:dyDescent="0.35">
      <c r="A183" s="13"/>
      <c r="B183" s="9" t="s">
        <v>180</v>
      </c>
      <c r="C183" s="9">
        <v>1.05</v>
      </c>
      <c r="D183" s="9">
        <v>0.5</v>
      </c>
      <c r="E183" s="9"/>
      <c r="F183" s="65">
        <f>C183*D183</f>
        <v>0.52500000000000002</v>
      </c>
      <c r="G183" s="9"/>
      <c r="H183" s="9"/>
      <c r="I183" s="9"/>
      <c r="J183" s="10"/>
    </row>
    <row r="184" spans="1:10" x14ac:dyDescent="0.35">
      <c r="A184" s="13"/>
      <c r="B184" s="9" t="s">
        <v>181</v>
      </c>
      <c r="C184" s="9">
        <v>1.05</v>
      </c>
      <c r="D184" s="9">
        <v>0.8</v>
      </c>
      <c r="E184" s="9"/>
      <c r="F184" s="65">
        <f>C184*D184</f>
        <v>0.84000000000000008</v>
      </c>
      <c r="G184" s="9"/>
      <c r="H184" s="9"/>
      <c r="I184" s="9"/>
      <c r="J184" s="10"/>
    </row>
    <row r="185" spans="1:10" x14ac:dyDescent="0.35">
      <c r="A185" s="13"/>
      <c r="B185" s="9" t="s">
        <v>182</v>
      </c>
      <c r="C185" s="9">
        <v>2.54</v>
      </c>
      <c r="D185" s="9">
        <v>1.9</v>
      </c>
      <c r="E185" s="9"/>
      <c r="F185" s="65">
        <f>C185*D185-G185*H185</f>
        <v>2.8459999999999992</v>
      </c>
      <c r="G185" s="9">
        <v>1.8</v>
      </c>
      <c r="H185" s="9">
        <v>1.1000000000000001</v>
      </c>
      <c r="I185" s="9"/>
      <c r="J185" s="10"/>
    </row>
    <row r="186" spans="1:10" x14ac:dyDescent="0.35">
      <c r="A186" s="13"/>
      <c r="B186" s="9" t="s">
        <v>137</v>
      </c>
      <c r="C186" s="9">
        <v>2.84</v>
      </c>
      <c r="D186" s="9">
        <v>2.5</v>
      </c>
      <c r="E186" s="9"/>
      <c r="F186" s="65">
        <f>C186*D186</f>
        <v>7.1</v>
      </c>
      <c r="G186" s="9"/>
      <c r="H186" s="9"/>
      <c r="I186" s="9"/>
      <c r="J186" s="10"/>
    </row>
    <row r="187" spans="1:10" x14ac:dyDescent="0.35">
      <c r="A187" s="13"/>
      <c r="B187" s="9" t="s">
        <v>138</v>
      </c>
      <c r="C187" s="9">
        <v>5.2519999999999998</v>
      </c>
      <c r="D187" s="9">
        <v>2.2999999999999998</v>
      </c>
      <c r="E187" s="9"/>
      <c r="F187" s="66">
        <f>C187*D187-G187*H187</f>
        <v>10.3246</v>
      </c>
      <c r="G187" s="9">
        <v>1.95</v>
      </c>
      <c r="H187" s="9">
        <v>0.9</v>
      </c>
      <c r="I187" s="9"/>
      <c r="J187" s="10"/>
    </row>
    <row r="188" spans="1:10" x14ac:dyDescent="0.35">
      <c r="A188" s="13"/>
      <c r="B188" s="9"/>
      <c r="C188" s="9"/>
      <c r="D188" s="9"/>
      <c r="E188" s="9" t="s">
        <v>8</v>
      </c>
      <c r="F188" s="67">
        <f>SUM(F182:F187)</f>
        <v>22.035599999999999</v>
      </c>
      <c r="G188" s="9"/>
      <c r="H188" s="9"/>
      <c r="I188" s="9"/>
      <c r="J188" s="10"/>
    </row>
    <row r="189" spans="1:10" x14ac:dyDescent="0.35">
      <c r="A189" s="13"/>
      <c r="B189" s="9"/>
      <c r="C189" s="9"/>
      <c r="D189" s="9"/>
      <c r="E189" s="9"/>
      <c r="F189" s="67"/>
      <c r="G189" s="9"/>
      <c r="H189" s="9"/>
      <c r="I189" s="9"/>
      <c r="J189" s="10"/>
    </row>
    <row r="190" spans="1:10" x14ac:dyDescent="0.35">
      <c r="A190" s="13" t="s">
        <v>183</v>
      </c>
      <c r="B190" s="9" t="s">
        <v>184</v>
      </c>
      <c r="C190" s="9">
        <v>4.5</v>
      </c>
      <c r="D190" s="9">
        <v>0.3</v>
      </c>
      <c r="E190" s="9">
        <v>3</v>
      </c>
      <c r="F190" s="61">
        <f>C190*D190*E190</f>
        <v>4.05</v>
      </c>
      <c r="G190" s="9"/>
      <c r="H190" s="9"/>
      <c r="I190" s="9"/>
      <c r="J190" s="10"/>
    </row>
    <row r="191" spans="1:10" x14ac:dyDescent="0.35">
      <c r="A191" s="13"/>
      <c r="B191" s="9" t="s">
        <v>185</v>
      </c>
      <c r="C191" s="9">
        <v>1.6</v>
      </c>
      <c r="D191" s="9">
        <v>0.3</v>
      </c>
      <c r="E191" s="9">
        <v>1</v>
      </c>
      <c r="F191" s="62">
        <f t="shared" ref="F191:F194" si="2">C191*D191*E191</f>
        <v>0.48</v>
      </c>
      <c r="G191" s="9"/>
      <c r="H191" s="9"/>
      <c r="I191" s="9"/>
      <c r="J191" s="10"/>
    </row>
    <row r="192" spans="1:10" x14ac:dyDescent="0.35">
      <c r="A192" s="13"/>
      <c r="B192" s="9" t="s">
        <v>134</v>
      </c>
      <c r="C192" s="9">
        <v>0.8</v>
      </c>
      <c r="D192" s="9">
        <v>0.5</v>
      </c>
      <c r="E192" s="9">
        <v>1</v>
      </c>
      <c r="F192" s="62">
        <f t="shared" si="2"/>
        <v>0.4</v>
      </c>
      <c r="G192" s="9"/>
      <c r="H192" s="9"/>
      <c r="I192" s="9"/>
      <c r="J192" s="10"/>
    </row>
    <row r="193" spans="1:10" x14ac:dyDescent="0.35">
      <c r="A193" s="13"/>
      <c r="B193" s="9" t="s">
        <v>135</v>
      </c>
      <c r="C193" s="9">
        <v>1.05</v>
      </c>
      <c r="D193" s="9">
        <v>0.5</v>
      </c>
      <c r="E193" s="9">
        <v>1</v>
      </c>
      <c r="F193" s="62">
        <f t="shared" si="2"/>
        <v>0.52500000000000002</v>
      </c>
      <c r="G193" s="9"/>
      <c r="H193" s="9"/>
      <c r="I193" s="9"/>
      <c r="J193" s="10"/>
    </row>
    <row r="194" spans="1:10" x14ac:dyDescent="0.35">
      <c r="A194" s="13"/>
      <c r="B194" s="9" t="s">
        <v>186</v>
      </c>
      <c r="C194" s="9">
        <v>1.05</v>
      </c>
      <c r="D194" s="9">
        <v>0.8</v>
      </c>
      <c r="E194" s="9">
        <v>1</v>
      </c>
      <c r="F194" s="62">
        <f t="shared" si="2"/>
        <v>0.84000000000000008</v>
      </c>
      <c r="G194" s="9"/>
      <c r="H194" s="9"/>
      <c r="I194" s="9"/>
      <c r="J194" s="10"/>
    </row>
    <row r="195" spans="1:10" x14ac:dyDescent="0.35">
      <c r="A195" s="13"/>
      <c r="B195" s="9" t="s">
        <v>182</v>
      </c>
      <c r="C195" s="9">
        <v>2.95</v>
      </c>
      <c r="D195" s="9">
        <v>2.5</v>
      </c>
      <c r="E195" s="9">
        <v>1</v>
      </c>
      <c r="F195" s="62">
        <f>C195*D195*E195-G195*H195</f>
        <v>5.3949999999999996</v>
      </c>
      <c r="G195" s="9">
        <v>1.8</v>
      </c>
      <c r="H195" s="9">
        <v>1.1000000000000001</v>
      </c>
      <c r="I195" s="9"/>
      <c r="J195" s="10"/>
    </row>
    <row r="196" spans="1:10" x14ac:dyDescent="0.35">
      <c r="A196" s="13"/>
      <c r="B196" s="9" t="s">
        <v>137</v>
      </c>
      <c r="C196" s="9">
        <v>3.14</v>
      </c>
      <c r="D196" s="9">
        <v>2.5</v>
      </c>
      <c r="E196" s="9">
        <v>1</v>
      </c>
      <c r="F196" s="62">
        <f>C196*D196*E196-G196*H196</f>
        <v>7.2100000000000009</v>
      </c>
      <c r="G196" s="9">
        <v>0.8</v>
      </c>
      <c r="H196" s="9">
        <v>0.8</v>
      </c>
      <c r="I196" s="9"/>
      <c r="J196" s="10"/>
    </row>
    <row r="197" spans="1:10" x14ac:dyDescent="0.35">
      <c r="A197" s="13"/>
      <c r="B197" s="9" t="s">
        <v>138</v>
      </c>
      <c r="C197" s="9">
        <v>5.2519999999999998</v>
      </c>
      <c r="D197" s="9">
        <v>2.9</v>
      </c>
      <c r="E197" s="9">
        <v>1</v>
      </c>
      <c r="F197" s="63">
        <f>C197*D197*E197-G197*H197-I197*J197</f>
        <v>12.835799999999999</v>
      </c>
      <c r="G197" s="9">
        <v>1.95</v>
      </c>
      <c r="H197" s="9">
        <v>0.9</v>
      </c>
      <c r="I197" s="9">
        <v>0.8</v>
      </c>
      <c r="J197" s="10">
        <v>0.8</v>
      </c>
    </row>
    <row r="198" spans="1:10" x14ac:dyDescent="0.35">
      <c r="A198" s="13"/>
      <c r="B198" s="9"/>
      <c r="C198" s="9"/>
      <c r="D198" s="9"/>
      <c r="E198" s="9"/>
      <c r="F198" s="34">
        <f>SUM(F190:F197)</f>
        <v>31.735799999999998</v>
      </c>
      <c r="G198" s="9"/>
      <c r="H198" s="9"/>
      <c r="I198" s="9"/>
      <c r="J198" s="10"/>
    </row>
    <row r="199" spans="1:10" x14ac:dyDescent="0.35">
      <c r="A199" s="13" t="s">
        <v>156</v>
      </c>
      <c r="B199" s="9"/>
      <c r="C199" s="9"/>
      <c r="D199" s="9"/>
      <c r="E199" s="9"/>
      <c r="F199" s="9"/>
      <c r="G199" s="9"/>
      <c r="H199" s="9"/>
      <c r="I199" s="9"/>
      <c r="J199" s="10"/>
    </row>
    <row r="200" spans="1:10" x14ac:dyDescent="0.35">
      <c r="A200" s="8" t="s">
        <v>157</v>
      </c>
      <c r="B200" s="9" t="s">
        <v>162</v>
      </c>
      <c r="C200" s="9">
        <v>4.0999999999999996</v>
      </c>
      <c r="D200" s="9">
        <v>2</v>
      </c>
      <c r="E200" s="9"/>
      <c r="F200" s="61">
        <f>C200*D200*2</f>
        <v>16.399999999999999</v>
      </c>
      <c r="G200" s="9" t="s">
        <v>115</v>
      </c>
      <c r="H200" s="9"/>
      <c r="I200" s="9"/>
      <c r="J200" s="10"/>
    </row>
    <row r="201" spans="1:10" x14ac:dyDescent="0.35">
      <c r="A201" s="8"/>
      <c r="B201" s="9" t="s">
        <v>163</v>
      </c>
      <c r="C201" s="9">
        <v>0.8</v>
      </c>
      <c r="D201" s="9">
        <v>2.2999999999999998</v>
      </c>
      <c r="E201" s="9"/>
      <c r="F201" s="62">
        <f>C201*D201-3.141/4*G201*G201</f>
        <v>1.55731</v>
      </c>
      <c r="G201" s="9">
        <v>0.6</v>
      </c>
      <c r="H201" s="9"/>
      <c r="I201" s="9"/>
      <c r="J201" s="10"/>
    </row>
    <row r="202" spans="1:10" x14ac:dyDescent="0.35">
      <c r="A202" s="8"/>
      <c r="B202" s="9" t="s">
        <v>164</v>
      </c>
      <c r="C202" s="9">
        <v>0.8</v>
      </c>
      <c r="D202" s="9">
        <v>2.2999999999999998</v>
      </c>
      <c r="E202" s="9"/>
      <c r="F202" s="62">
        <f>C202*(D202-G201)</f>
        <v>1.3599999999999999</v>
      </c>
      <c r="G202" s="9">
        <v>0.8</v>
      </c>
      <c r="H202" s="9">
        <v>0.8</v>
      </c>
      <c r="I202" s="9"/>
      <c r="J202" s="10"/>
    </row>
    <row r="203" spans="1:10" x14ac:dyDescent="0.35">
      <c r="A203" s="8" t="s">
        <v>158</v>
      </c>
      <c r="B203" s="9" t="s">
        <v>162</v>
      </c>
      <c r="C203" s="9">
        <v>4.0999999999999996</v>
      </c>
      <c r="D203" s="9">
        <v>2</v>
      </c>
      <c r="E203" s="9"/>
      <c r="F203" s="62">
        <f>C203*D203*2</f>
        <v>16.399999999999999</v>
      </c>
      <c r="G203" s="9" t="s">
        <v>115</v>
      </c>
      <c r="H203" s="9"/>
      <c r="I203" s="9"/>
      <c r="J203" s="10"/>
    </row>
    <row r="204" spans="1:10" x14ac:dyDescent="0.35">
      <c r="A204" s="8"/>
      <c r="B204" s="9" t="s">
        <v>163</v>
      </c>
      <c r="C204" s="9">
        <v>0.5</v>
      </c>
      <c r="D204" s="9">
        <v>2.2999999999999998</v>
      </c>
      <c r="E204" s="9"/>
      <c r="F204" s="62">
        <f>C204*D204-3.141/4*G204*G204</f>
        <v>0.86731000000000003</v>
      </c>
      <c r="G204" s="9">
        <v>0.6</v>
      </c>
      <c r="H204" s="9"/>
      <c r="I204" s="9"/>
      <c r="J204" s="10"/>
    </row>
    <row r="205" spans="1:10" x14ac:dyDescent="0.35">
      <c r="A205" s="8"/>
      <c r="B205" s="9" t="s">
        <v>164</v>
      </c>
      <c r="C205" s="9">
        <v>0.5</v>
      </c>
      <c r="D205" s="9">
        <v>2.2999999999999998</v>
      </c>
      <c r="E205" s="9"/>
      <c r="F205" s="62">
        <f>C205*D205-3.141/4*G205*G205</f>
        <v>0.95368749999999991</v>
      </c>
      <c r="G205" s="9">
        <v>0.5</v>
      </c>
      <c r="H205" s="9">
        <v>0.5</v>
      </c>
      <c r="I205" s="9"/>
      <c r="J205" s="10"/>
    </row>
    <row r="206" spans="1:10" x14ac:dyDescent="0.35">
      <c r="A206" s="8" t="s">
        <v>159</v>
      </c>
      <c r="B206" s="9" t="s">
        <v>162</v>
      </c>
      <c r="C206" s="9">
        <v>2.65</v>
      </c>
      <c r="D206" s="9">
        <v>2.2999999999999998</v>
      </c>
      <c r="E206" s="9"/>
      <c r="F206" s="62">
        <f>C206*D206*2</f>
        <v>12.19</v>
      </c>
      <c r="G206" s="9" t="s">
        <v>48</v>
      </c>
      <c r="H206" s="9" t="s">
        <v>49</v>
      </c>
      <c r="I206" s="9" t="s">
        <v>65</v>
      </c>
      <c r="J206" s="10" t="s">
        <v>72</v>
      </c>
    </row>
    <row r="207" spans="1:10" x14ac:dyDescent="0.35">
      <c r="A207" s="8"/>
      <c r="B207" s="9" t="s">
        <v>165</v>
      </c>
      <c r="C207" s="9">
        <v>1.9</v>
      </c>
      <c r="D207" s="9">
        <v>2.2999999999999998</v>
      </c>
      <c r="E207" s="9"/>
      <c r="F207" s="62">
        <f>C207*D207-G207*H207-I207*J207</f>
        <v>3.4799999999999991</v>
      </c>
      <c r="G207" s="9">
        <v>0.8</v>
      </c>
      <c r="H207" s="9">
        <v>0.8</v>
      </c>
      <c r="I207" s="9">
        <v>0.5</v>
      </c>
      <c r="J207" s="10">
        <v>0.5</v>
      </c>
    </row>
    <row r="208" spans="1:10" x14ac:dyDescent="0.35">
      <c r="A208" s="8" t="s">
        <v>160</v>
      </c>
      <c r="B208" s="9" t="s">
        <v>168</v>
      </c>
      <c r="C208" s="9">
        <v>2.84</v>
      </c>
      <c r="D208" s="9">
        <v>2.76</v>
      </c>
      <c r="E208" s="9"/>
      <c r="F208" s="62">
        <f>C208*D208</f>
        <v>7.8383999999999991</v>
      </c>
      <c r="G208" s="9"/>
      <c r="H208" s="9"/>
      <c r="I208" s="9"/>
      <c r="J208" s="10"/>
    </row>
    <row r="209" spans="1:10" x14ac:dyDescent="0.35">
      <c r="A209" s="8"/>
      <c r="B209" s="9" t="s">
        <v>169</v>
      </c>
      <c r="C209" s="9">
        <v>2.84</v>
      </c>
      <c r="D209" s="9">
        <v>0.73499999999999999</v>
      </c>
      <c r="E209" s="9"/>
      <c r="F209" s="62">
        <f>C209*D209</f>
        <v>2.0873999999999997</v>
      </c>
      <c r="G209" s="9" t="s">
        <v>115</v>
      </c>
      <c r="H209" s="9"/>
      <c r="I209" s="9"/>
      <c r="J209" s="10"/>
    </row>
    <row r="210" spans="1:10" x14ac:dyDescent="0.35">
      <c r="A210" s="8"/>
      <c r="B210" s="9" t="s">
        <v>166</v>
      </c>
      <c r="C210" s="9">
        <v>2.81</v>
      </c>
      <c r="D210" s="9">
        <v>2.76</v>
      </c>
      <c r="E210" s="9"/>
      <c r="F210" s="62">
        <f>C210*D210-3.141/4*G210*G210</f>
        <v>6.9703499999999998</v>
      </c>
      <c r="G210" s="9">
        <v>1</v>
      </c>
      <c r="H210" s="9"/>
      <c r="I210" s="9"/>
      <c r="J210" s="10"/>
    </row>
    <row r="211" spans="1:10" x14ac:dyDescent="0.35">
      <c r="A211" s="8" t="s">
        <v>161</v>
      </c>
      <c r="B211" s="9" t="s">
        <v>167</v>
      </c>
      <c r="C211" s="9">
        <f>(C155+C156)/2+0.191+0.3</f>
        <v>5.2519999999999998</v>
      </c>
      <c r="D211" s="9">
        <v>2</v>
      </c>
      <c r="E211" s="9"/>
      <c r="F211" s="62">
        <f>2*C211*D211</f>
        <v>21.007999999999999</v>
      </c>
      <c r="G211" s="9" t="s">
        <v>115</v>
      </c>
      <c r="H211" s="9"/>
      <c r="I211" s="9"/>
      <c r="J211" s="10"/>
    </row>
    <row r="212" spans="1:10" x14ac:dyDescent="0.35">
      <c r="A212" s="8"/>
      <c r="B212" s="9" t="s">
        <v>170</v>
      </c>
      <c r="C212" s="9">
        <v>2.2999999999999998</v>
      </c>
      <c r="D212" s="9">
        <v>2.12</v>
      </c>
      <c r="E212" s="9"/>
      <c r="F212" s="63">
        <f>C212*D212-3.141/4*G212*G212</f>
        <v>4.3734399999999996</v>
      </c>
      <c r="G212" s="9">
        <v>0.8</v>
      </c>
      <c r="H212" s="9"/>
      <c r="I212" s="9"/>
      <c r="J212" s="10"/>
    </row>
    <row r="213" spans="1:10" x14ac:dyDescent="0.35">
      <c r="A213" s="8"/>
      <c r="B213" s="9"/>
      <c r="C213" s="9"/>
      <c r="D213" s="9"/>
      <c r="E213" s="9"/>
      <c r="F213" s="34">
        <f>SUM(F200:F212)</f>
        <v>95.485897499999993</v>
      </c>
      <c r="G213" s="9"/>
      <c r="H213" s="9"/>
      <c r="I213" s="9"/>
      <c r="J213" s="10"/>
    </row>
    <row r="214" spans="1:10" x14ac:dyDescent="0.35">
      <c r="A214" s="13" t="s">
        <v>171</v>
      </c>
      <c r="B214" s="9"/>
      <c r="C214" s="9"/>
      <c r="D214" s="9"/>
      <c r="E214" s="9"/>
      <c r="F214" s="9"/>
      <c r="G214" s="9"/>
      <c r="H214" s="9"/>
      <c r="I214" s="9"/>
      <c r="J214" s="10"/>
    </row>
    <row r="215" spans="1:10" x14ac:dyDescent="0.35">
      <c r="A215" s="8" t="s">
        <v>157</v>
      </c>
      <c r="B215" s="9" t="s">
        <v>172</v>
      </c>
      <c r="C215" s="9">
        <v>4.2</v>
      </c>
      <c r="D215" s="9">
        <v>2.6</v>
      </c>
      <c r="E215" s="9"/>
      <c r="F215" s="61">
        <f>C215*D215</f>
        <v>10.920000000000002</v>
      </c>
      <c r="G215" s="9" t="s">
        <v>115</v>
      </c>
      <c r="H215" s="9"/>
      <c r="I215" s="9"/>
      <c r="J215" s="10"/>
    </row>
    <row r="216" spans="1:10" x14ac:dyDescent="0.35">
      <c r="A216" s="8"/>
      <c r="B216" s="9" t="s">
        <v>163</v>
      </c>
      <c r="C216" s="9">
        <v>0.8</v>
      </c>
      <c r="D216" s="9">
        <v>2.6</v>
      </c>
      <c r="E216" s="9"/>
      <c r="F216" s="62">
        <f>C216*D216-3.141/4*G216*G216</f>
        <v>1.7973100000000002</v>
      </c>
      <c r="G216" s="9">
        <v>0.6</v>
      </c>
      <c r="H216" s="9"/>
      <c r="I216" s="9"/>
      <c r="J216" s="10"/>
    </row>
    <row r="217" spans="1:10" x14ac:dyDescent="0.35">
      <c r="A217" s="8" t="s">
        <v>158</v>
      </c>
      <c r="B217" s="9" t="s">
        <v>172</v>
      </c>
      <c r="C217" s="9">
        <v>4.2</v>
      </c>
      <c r="D217" s="9">
        <v>2.6</v>
      </c>
      <c r="E217" s="9"/>
      <c r="F217" s="62">
        <f>C217*D217</f>
        <v>10.920000000000002</v>
      </c>
      <c r="G217" s="9" t="s">
        <v>115</v>
      </c>
      <c r="H217" s="9"/>
      <c r="I217" s="9"/>
      <c r="J217" s="10"/>
    </row>
    <row r="218" spans="1:10" x14ac:dyDescent="0.35">
      <c r="A218" s="8"/>
      <c r="B218" s="9" t="s">
        <v>163</v>
      </c>
      <c r="C218" s="9">
        <v>0.5</v>
      </c>
      <c r="D218" s="9">
        <v>2.6</v>
      </c>
      <c r="E218" s="9"/>
      <c r="F218" s="62">
        <f>C218*D218-3.141/4*G218*G218</f>
        <v>1.0173100000000002</v>
      </c>
      <c r="G218" s="9">
        <v>0.6</v>
      </c>
      <c r="H218" s="9"/>
      <c r="I218" s="9"/>
      <c r="J218" s="10"/>
    </row>
    <row r="219" spans="1:10" x14ac:dyDescent="0.35">
      <c r="A219" s="8" t="s">
        <v>249</v>
      </c>
      <c r="B219" s="9" t="s">
        <v>162</v>
      </c>
      <c r="C219" s="9">
        <v>2.95</v>
      </c>
      <c r="D219" s="9">
        <v>3.3</v>
      </c>
      <c r="E219" s="9"/>
      <c r="F219" s="62">
        <f>C219*D219*2</f>
        <v>19.47</v>
      </c>
      <c r="G219" s="9"/>
      <c r="H219" s="9"/>
      <c r="I219" s="9"/>
      <c r="J219" s="10"/>
    </row>
    <row r="220" spans="1:10" x14ac:dyDescent="0.35">
      <c r="A220" s="8" t="s">
        <v>159</v>
      </c>
      <c r="B220" s="9"/>
      <c r="C220" s="32">
        <v>4.2</v>
      </c>
      <c r="D220" s="32">
        <v>0.34</v>
      </c>
      <c r="E220" s="9"/>
      <c r="F220" s="62"/>
      <c r="G220" s="76">
        <f>C220*D220*2</f>
        <v>2.8560000000000003</v>
      </c>
      <c r="H220" s="9"/>
      <c r="I220" s="9"/>
      <c r="J220" s="10"/>
    </row>
    <row r="221" spans="1:10" x14ac:dyDescent="0.35">
      <c r="A221" s="8"/>
      <c r="B221" s="9" t="s">
        <v>173</v>
      </c>
      <c r="C221" s="9">
        <v>0.15</v>
      </c>
      <c r="D221" s="9">
        <v>3.3</v>
      </c>
      <c r="E221" s="9"/>
      <c r="F221" s="62">
        <f>C221*D221</f>
        <v>0.49499999999999994</v>
      </c>
      <c r="G221" s="9"/>
      <c r="H221" s="9"/>
      <c r="I221" s="9"/>
      <c r="J221" s="10"/>
    </row>
    <row r="222" spans="1:10" x14ac:dyDescent="0.35">
      <c r="A222" s="8"/>
      <c r="B222" s="9" t="s">
        <v>174</v>
      </c>
      <c r="C222" s="9">
        <v>2.5</v>
      </c>
      <c r="D222" s="9">
        <v>0.7</v>
      </c>
      <c r="E222" s="9"/>
      <c r="F222" s="62" t="s">
        <v>33</v>
      </c>
      <c r="G222" s="9" t="s">
        <v>175</v>
      </c>
      <c r="H222" s="9"/>
      <c r="I222" s="9"/>
      <c r="J222" s="10"/>
    </row>
    <row r="223" spans="1:10" x14ac:dyDescent="0.35">
      <c r="A223" s="8" t="s">
        <v>250</v>
      </c>
      <c r="B223" s="9" t="s">
        <v>168</v>
      </c>
      <c r="C223" s="9">
        <v>3.14</v>
      </c>
      <c r="D223" s="9">
        <v>3.4550000000000001</v>
      </c>
      <c r="E223" s="9"/>
      <c r="F223" s="62">
        <f>C223*D223</f>
        <v>10.848700000000001</v>
      </c>
      <c r="G223" s="9" t="s">
        <v>115</v>
      </c>
      <c r="H223" s="9"/>
      <c r="I223" s="9"/>
      <c r="J223" s="10"/>
    </row>
    <row r="224" spans="1:10" x14ac:dyDescent="0.35">
      <c r="A224" s="8"/>
      <c r="B224" s="32" t="s">
        <v>251</v>
      </c>
      <c r="C224" s="32">
        <v>2.95</v>
      </c>
      <c r="D224" s="32">
        <v>0.34</v>
      </c>
      <c r="E224" s="9"/>
      <c r="F224" s="62"/>
      <c r="G224" s="76">
        <f>(C224+0.15)*D224*2</f>
        <v>2.1080000000000001</v>
      </c>
      <c r="H224" s="9"/>
      <c r="I224" s="9"/>
      <c r="J224" s="10"/>
    </row>
    <row r="225" spans="1:10" x14ac:dyDescent="0.35">
      <c r="A225" s="8" t="s">
        <v>160</v>
      </c>
      <c r="B225" s="9"/>
      <c r="C225" s="9"/>
      <c r="D225" s="9"/>
      <c r="E225" s="9"/>
      <c r="F225" s="62"/>
      <c r="G225" s="9"/>
      <c r="H225" s="9"/>
      <c r="I225" s="9"/>
      <c r="J225" s="10"/>
    </row>
    <row r="226" spans="1:10" x14ac:dyDescent="0.35">
      <c r="A226" s="8"/>
      <c r="B226" s="9" t="s">
        <v>166</v>
      </c>
      <c r="C226" s="9">
        <v>2.681</v>
      </c>
      <c r="D226" s="9">
        <v>3.4550000000000001</v>
      </c>
      <c r="E226" s="9"/>
      <c r="F226" s="62">
        <f>C226*D226-3.141/4*G226*G226</f>
        <v>8.4776050000000005</v>
      </c>
      <c r="G226" s="9">
        <v>1</v>
      </c>
      <c r="H226" s="9"/>
      <c r="I226" s="9"/>
      <c r="J226" s="10"/>
    </row>
    <row r="227" spans="1:10" x14ac:dyDescent="0.35">
      <c r="A227" s="8" t="s">
        <v>252</v>
      </c>
      <c r="B227" s="9" t="s">
        <v>176</v>
      </c>
      <c r="C227" s="9">
        <v>3.14</v>
      </c>
      <c r="D227" s="9">
        <v>0.78500000000000003</v>
      </c>
      <c r="E227" s="9"/>
      <c r="F227" s="62">
        <f>C227*D227</f>
        <v>2.4649000000000001</v>
      </c>
      <c r="G227" s="9"/>
      <c r="H227" s="9"/>
      <c r="I227" s="9"/>
      <c r="J227" s="10"/>
    </row>
    <row r="228" spans="1:10" x14ac:dyDescent="0.35">
      <c r="A228" s="8"/>
      <c r="B228" s="9"/>
      <c r="C228" s="32">
        <v>3.14</v>
      </c>
      <c r="D228" s="32">
        <v>1.075</v>
      </c>
      <c r="E228" s="9"/>
      <c r="F228" s="62"/>
      <c r="G228" s="75">
        <f>C228*D228</f>
        <v>3.3755000000000002</v>
      </c>
      <c r="H228" s="9"/>
      <c r="I228" s="9"/>
      <c r="J228" s="10"/>
    </row>
    <row r="229" spans="1:10" x14ac:dyDescent="0.35">
      <c r="A229" s="8"/>
      <c r="B229" s="9"/>
      <c r="C229" s="32">
        <v>3.14</v>
      </c>
      <c r="D229" s="32">
        <v>0.73499999999999999</v>
      </c>
      <c r="E229" s="9"/>
      <c r="F229" s="62"/>
      <c r="G229" s="75">
        <f>C229*D229</f>
        <v>2.3079000000000001</v>
      </c>
      <c r="H229" s="9"/>
      <c r="I229" s="9"/>
      <c r="J229" s="10"/>
    </row>
    <row r="230" spans="1:10" x14ac:dyDescent="0.35">
      <c r="A230" s="8"/>
      <c r="B230" s="9"/>
      <c r="C230" s="32">
        <v>2.5</v>
      </c>
      <c r="D230" s="32">
        <v>0.73499999999999999</v>
      </c>
      <c r="E230" s="9"/>
      <c r="F230" s="62"/>
      <c r="G230" s="75">
        <f>C230*D230</f>
        <v>1.8374999999999999</v>
      </c>
      <c r="H230" s="9"/>
      <c r="I230" s="9"/>
      <c r="J230" s="10"/>
    </row>
    <row r="231" spans="1:10" x14ac:dyDescent="0.35">
      <c r="A231" s="8"/>
      <c r="B231" s="9"/>
      <c r="C231" s="32">
        <v>2.5</v>
      </c>
      <c r="D231" s="32">
        <v>1.075</v>
      </c>
      <c r="E231" s="9"/>
      <c r="F231" s="62"/>
      <c r="G231" s="75">
        <f>C231*D231</f>
        <v>2.6875</v>
      </c>
      <c r="H231" s="9"/>
      <c r="I231" s="9"/>
      <c r="J231" s="10"/>
    </row>
    <row r="232" spans="1:10" x14ac:dyDescent="0.35">
      <c r="A232" s="8" t="s">
        <v>161</v>
      </c>
      <c r="B232" s="9"/>
      <c r="C232" s="32"/>
      <c r="D232" s="32"/>
      <c r="E232" s="9"/>
      <c r="F232" s="62"/>
      <c r="G232" s="78">
        <f>SUM(G228:G231)</f>
        <v>10.208400000000001</v>
      </c>
      <c r="H232" s="9"/>
      <c r="I232" s="9"/>
      <c r="J232" s="10"/>
    </row>
    <row r="233" spans="1:10" x14ac:dyDescent="0.35">
      <c r="B233" s="9" t="s">
        <v>167</v>
      </c>
      <c r="C233" s="9">
        <v>5.2519999999999998</v>
      </c>
      <c r="D233" s="9">
        <f>D226-0.735</f>
        <v>2.72</v>
      </c>
      <c r="E233" s="9"/>
      <c r="F233" s="62">
        <f>2*C233*D233</f>
        <v>28.570880000000002</v>
      </c>
      <c r="G233" s="9" t="s">
        <v>115</v>
      </c>
      <c r="H233" s="9"/>
      <c r="I233" s="9"/>
      <c r="J233" s="10"/>
    </row>
    <row r="234" spans="1:10" x14ac:dyDescent="0.35">
      <c r="A234" t="s">
        <v>253</v>
      </c>
      <c r="B234" s="9" t="s">
        <v>170</v>
      </c>
      <c r="C234" s="9">
        <v>2.9</v>
      </c>
      <c r="D234" s="9">
        <f>D233</f>
        <v>2.72</v>
      </c>
      <c r="E234" s="9"/>
      <c r="F234" s="63">
        <f>C234*D234-3.141/4*G234*G234</f>
        <v>7.38544</v>
      </c>
      <c r="G234" s="9">
        <v>0.8</v>
      </c>
      <c r="H234" s="9"/>
      <c r="I234" s="9"/>
      <c r="J234" s="10"/>
    </row>
    <row r="235" spans="1:10" x14ac:dyDescent="0.35">
      <c r="B235" s="9">
        <v>2</v>
      </c>
      <c r="C235" s="32">
        <v>5.2519999999999998</v>
      </c>
      <c r="D235" s="9">
        <v>0.34</v>
      </c>
      <c r="E235" s="9"/>
      <c r="F235" s="33"/>
      <c r="G235" s="76">
        <f>B235*C235*D235</f>
        <v>3.5713600000000003</v>
      </c>
      <c r="H235" s="9"/>
      <c r="I235" s="9"/>
      <c r="J235" s="10"/>
    </row>
    <row r="236" spans="1:10" x14ac:dyDescent="0.35">
      <c r="B236" s="9"/>
      <c r="C236" s="32">
        <v>2.99</v>
      </c>
      <c r="D236" s="9">
        <v>0.34</v>
      </c>
      <c r="E236" s="9"/>
      <c r="F236" s="33"/>
      <c r="G236" s="76">
        <f>C236*D236</f>
        <v>1.0166000000000002</v>
      </c>
      <c r="H236" s="9"/>
      <c r="I236" s="9"/>
      <c r="J236" s="10"/>
    </row>
    <row r="237" spans="1:10" x14ac:dyDescent="0.35">
      <c r="A237" s="8"/>
      <c r="B237" s="9"/>
      <c r="C237" s="32"/>
      <c r="D237" s="9"/>
      <c r="E237" s="9"/>
      <c r="F237" s="33"/>
      <c r="G237" s="76">
        <f>SUM(G235:G236)</f>
        <v>4.5879600000000007</v>
      </c>
      <c r="H237" s="9"/>
      <c r="I237" s="9"/>
      <c r="J237" s="10"/>
    </row>
    <row r="238" spans="1:10" x14ac:dyDescent="0.35">
      <c r="A238" s="8"/>
      <c r="B238" s="9"/>
      <c r="C238" s="9"/>
      <c r="D238" s="9"/>
      <c r="E238" s="9"/>
      <c r="F238" s="34">
        <f>SUM(F215:F234)</f>
        <v>102.36714500000001</v>
      </c>
      <c r="G238" s="76">
        <f>G220+G224+G232+G237</f>
        <v>19.760360000000002</v>
      </c>
      <c r="H238" s="9"/>
      <c r="I238" s="9"/>
      <c r="J238" s="10"/>
    </row>
    <row r="239" spans="1:10" x14ac:dyDescent="0.35">
      <c r="A239" s="13" t="s">
        <v>228</v>
      </c>
      <c r="B239" s="9"/>
      <c r="C239" s="9"/>
      <c r="D239" s="9"/>
      <c r="E239" s="9"/>
      <c r="F239" s="34"/>
      <c r="G239" s="9" t="s">
        <v>8</v>
      </c>
      <c r="H239" s="9"/>
      <c r="I239" s="9"/>
      <c r="J239" s="10"/>
    </row>
    <row r="240" spans="1:10" x14ac:dyDescent="0.35">
      <c r="A240" s="8" t="s">
        <v>232</v>
      </c>
      <c r="B240" s="32" t="s">
        <v>229</v>
      </c>
      <c r="C240" s="32">
        <v>1.8</v>
      </c>
      <c r="D240" s="9">
        <v>1.1000000000000001</v>
      </c>
      <c r="E240" s="9"/>
      <c r="F240" s="61">
        <f>C240*D240</f>
        <v>1.9800000000000002</v>
      </c>
      <c r="G240" s="9">
        <v>1</v>
      </c>
      <c r="H240" s="9"/>
      <c r="I240" s="9"/>
      <c r="J240" s="10"/>
    </row>
    <row r="241" spans="1:11" x14ac:dyDescent="0.35">
      <c r="A241" s="8"/>
      <c r="B241" s="32" t="s">
        <v>230</v>
      </c>
      <c r="C241" s="32">
        <v>1.8</v>
      </c>
      <c r="D241" s="9">
        <v>2.54</v>
      </c>
      <c r="E241" s="9">
        <v>0.85</v>
      </c>
      <c r="F241" s="62">
        <f>(C241+D241)/2*E241*2</f>
        <v>3.6889999999999996</v>
      </c>
      <c r="G241" s="32">
        <v>2</v>
      </c>
      <c r="H241" s="9"/>
      <c r="I241" s="9"/>
      <c r="J241" s="10"/>
    </row>
    <row r="242" spans="1:11" x14ac:dyDescent="0.35">
      <c r="A242" s="8"/>
      <c r="B242" s="32" t="s">
        <v>231</v>
      </c>
      <c r="C242" s="32">
        <v>1.1000000000000001</v>
      </c>
      <c r="D242" s="9">
        <v>1.9</v>
      </c>
      <c r="E242" s="9">
        <v>0.85</v>
      </c>
      <c r="F242" s="62">
        <f>(C242+D242)/2*E242*2</f>
        <v>2.5499999999999998</v>
      </c>
      <c r="G242" s="32">
        <v>2</v>
      </c>
      <c r="H242" s="9"/>
      <c r="I242" s="9"/>
      <c r="J242" s="10"/>
    </row>
    <row r="243" spans="1:11" x14ac:dyDescent="0.35">
      <c r="A243" s="8" t="s">
        <v>233</v>
      </c>
      <c r="B243" s="32" t="s">
        <v>229</v>
      </c>
      <c r="C243" s="32">
        <v>1.95</v>
      </c>
      <c r="D243" s="32">
        <v>0.9</v>
      </c>
      <c r="E243" s="9"/>
      <c r="F243" s="62">
        <f>C243*D243</f>
        <v>1.7549999999999999</v>
      </c>
      <c r="G243" s="32">
        <v>1</v>
      </c>
      <c r="H243" s="9"/>
      <c r="I243" s="9"/>
      <c r="J243" s="10"/>
    </row>
    <row r="244" spans="1:11" x14ac:dyDescent="0.35">
      <c r="A244" s="8"/>
      <c r="B244" s="32" t="s">
        <v>230</v>
      </c>
      <c r="C244" s="32">
        <v>1.95</v>
      </c>
      <c r="D244" s="32">
        <v>3.09</v>
      </c>
      <c r="E244" s="9">
        <v>0.76</v>
      </c>
      <c r="F244" s="62">
        <f>(C244+D244)/2*E244*2</f>
        <v>3.8304</v>
      </c>
      <c r="G244" s="32">
        <v>2</v>
      </c>
      <c r="H244" s="9"/>
      <c r="I244" s="9"/>
      <c r="J244" s="10"/>
    </row>
    <row r="245" spans="1:11" x14ac:dyDescent="0.35">
      <c r="A245" s="8"/>
      <c r="B245" s="32" t="s">
        <v>234</v>
      </c>
      <c r="C245" s="32">
        <v>0.9</v>
      </c>
      <c r="D245" s="32">
        <v>2.2999999999999998</v>
      </c>
      <c r="E245" s="9">
        <v>0.53</v>
      </c>
      <c r="F245" s="63">
        <f>(C245+D245)/2*E245</f>
        <v>0.84799999999999998</v>
      </c>
      <c r="G245" s="32">
        <v>1</v>
      </c>
      <c r="H245" s="9"/>
      <c r="I245" s="9"/>
      <c r="J245" s="10"/>
      <c r="K245">
        <f>0.7*0.4+0.55*0.55</f>
        <v>0.58250000000000002</v>
      </c>
    </row>
    <row r="246" spans="1:11" x14ac:dyDescent="0.35">
      <c r="A246" s="8"/>
      <c r="B246" s="9"/>
      <c r="C246" s="9"/>
      <c r="D246" s="9"/>
      <c r="E246" s="9"/>
      <c r="F246" s="60">
        <f>SUM(F240:F245)</f>
        <v>14.652400000000002</v>
      </c>
      <c r="G246" s="9"/>
      <c r="H246" s="9"/>
      <c r="I246" s="9"/>
      <c r="J246" s="10"/>
    </row>
    <row r="247" spans="1:11" x14ac:dyDescent="0.35">
      <c r="A247" s="13" t="s">
        <v>129</v>
      </c>
      <c r="B247" s="9"/>
      <c r="C247" s="9"/>
      <c r="D247" s="9"/>
      <c r="E247" s="9"/>
      <c r="F247" s="9"/>
      <c r="G247" s="9"/>
      <c r="H247" s="9"/>
      <c r="I247" s="9"/>
      <c r="J247" s="10"/>
    </row>
    <row r="248" spans="1:11" x14ac:dyDescent="0.35">
      <c r="A248" s="8" t="s">
        <v>177</v>
      </c>
      <c r="B248" s="9"/>
      <c r="C248" s="9"/>
      <c r="D248" s="9"/>
      <c r="E248" s="9"/>
      <c r="F248" s="34">
        <f>F213+F238</f>
        <v>197.85304250000002</v>
      </c>
      <c r="G248" s="9"/>
      <c r="H248" s="9"/>
      <c r="I248" s="9"/>
      <c r="J248" s="10"/>
    </row>
    <row r="249" spans="1:11" x14ac:dyDescent="0.35">
      <c r="A249" s="8" t="s">
        <v>187</v>
      </c>
      <c r="B249" s="9"/>
      <c r="C249" s="9"/>
      <c r="D249" s="9"/>
      <c r="E249" s="9"/>
      <c r="F249" s="34">
        <f>F188</f>
        <v>22.035599999999999</v>
      </c>
      <c r="G249" s="9"/>
      <c r="H249" s="9"/>
      <c r="I249" s="9"/>
      <c r="J249" s="10"/>
    </row>
    <row r="250" spans="1:11" x14ac:dyDescent="0.35">
      <c r="A250" s="8" t="s">
        <v>188</v>
      </c>
      <c r="B250" s="9"/>
      <c r="C250" s="9"/>
      <c r="D250" s="9"/>
      <c r="E250" s="9"/>
      <c r="F250" s="9"/>
      <c r="G250" s="9"/>
      <c r="H250" s="9"/>
      <c r="I250" s="9"/>
      <c r="J250" s="10"/>
    </row>
    <row r="251" spans="1:11" x14ac:dyDescent="0.35">
      <c r="A251" s="8" t="s">
        <v>189</v>
      </c>
      <c r="B251" s="9"/>
      <c r="C251" s="9"/>
      <c r="D251" s="9"/>
      <c r="E251" s="9"/>
      <c r="F251" s="9"/>
      <c r="G251" s="9"/>
      <c r="H251" s="9"/>
      <c r="I251" s="9"/>
      <c r="J251" s="10"/>
    </row>
    <row r="252" spans="1:11" x14ac:dyDescent="0.35">
      <c r="A252" s="8" t="s">
        <v>258</v>
      </c>
      <c r="B252" s="9"/>
      <c r="C252" s="9"/>
      <c r="D252" s="9"/>
      <c r="E252" s="9"/>
      <c r="F252" s="9">
        <f>(2.1+2*4.2+0.3+6.087+2.681+5.681+2.9+3.972+2.95)*0.3</f>
        <v>10.521300000000002</v>
      </c>
      <c r="G252" s="9"/>
      <c r="H252" s="9"/>
      <c r="I252" s="9"/>
      <c r="J252" s="10"/>
    </row>
    <row r="253" spans="1:11" x14ac:dyDescent="0.35">
      <c r="A253" s="8"/>
      <c r="B253" s="9"/>
      <c r="C253" s="9"/>
      <c r="D253" s="9"/>
      <c r="E253" s="9"/>
      <c r="F253" s="9"/>
      <c r="G253" s="9"/>
      <c r="H253" s="9"/>
      <c r="I253" s="9"/>
      <c r="J253" s="10"/>
    </row>
    <row r="254" spans="1:11" x14ac:dyDescent="0.35">
      <c r="A254" s="83" t="s">
        <v>54</v>
      </c>
      <c r="B254" s="9"/>
      <c r="C254" s="9" t="s">
        <v>42</v>
      </c>
      <c r="D254" s="9"/>
      <c r="E254" s="9" t="s">
        <v>14</v>
      </c>
      <c r="F254" s="32" t="s">
        <v>20</v>
      </c>
      <c r="G254" s="9"/>
      <c r="H254" s="9"/>
      <c r="I254" s="9"/>
      <c r="J254" s="10"/>
    </row>
    <row r="255" spans="1:11" x14ac:dyDescent="0.35">
      <c r="A255" s="85"/>
      <c r="B255" s="9"/>
      <c r="C255" s="9" t="s">
        <v>16</v>
      </c>
      <c r="D255" s="9"/>
      <c r="E255" s="9" t="s">
        <v>16</v>
      </c>
      <c r="F255" s="32" t="s">
        <v>10</v>
      </c>
      <c r="G255" s="9"/>
      <c r="H255" s="9"/>
      <c r="I255" s="9"/>
      <c r="J255" s="10"/>
    </row>
    <row r="256" spans="1:11" x14ac:dyDescent="0.35">
      <c r="A256" s="8" t="s">
        <v>276</v>
      </c>
      <c r="B256" s="9"/>
      <c r="C256" s="9">
        <f>4.7+12.5+4+6.5+4.4+6.5+5.1-C257</f>
        <v>32.700000000000003</v>
      </c>
      <c r="D256" s="9"/>
      <c r="E256" s="9">
        <v>2.65</v>
      </c>
      <c r="F256" s="9">
        <f>C256*E256</f>
        <v>86.655000000000001</v>
      </c>
      <c r="G256" s="9"/>
      <c r="H256" s="9"/>
      <c r="I256" s="9"/>
      <c r="J256" s="10"/>
    </row>
    <row r="257" spans="1:10" x14ac:dyDescent="0.35">
      <c r="A257" s="8" t="s">
        <v>277</v>
      </c>
      <c r="B257" s="9"/>
      <c r="C257" s="9">
        <f>2*5.5</f>
        <v>11</v>
      </c>
      <c r="D257" s="9"/>
      <c r="E257" s="9">
        <v>3.2</v>
      </c>
      <c r="F257" s="9">
        <f>C257*E257</f>
        <v>35.200000000000003</v>
      </c>
      <c r="G257" s="9"/>
      <c r="H257" s="9"/>
      <c r="I257" s="9"/>
      <c r="J257" s="10"/>
    </row>
    <row r="258" spans="1:10" x14ac:dyDescent="0.35">
      <c r="A258" s="13" t="s">
        <v>278</v>
      </c>
      <c r="B258" s="21"/>
      <c r="C258" s="21"/>
      <c r="D258" s="21"/>
      <c r="E258" s="21"/>
      <c r="F258" s="84">
        <f>SUM(F256:F257)</f>
        <v>121.855</v>
      </c>
      <c r="G258" s="9"/>
      <c r="H258" s="9"/>
      <c r="I258" s="9"/>
      <c r="J258" s="10"/>
    </row>
    <row r="259" spans="1:10" x14ac:dyDescent="0.35">
      <c r="A259" s="8"/>
      <c r="B259" s="9"/>
      <c r="C259" s="9"/>
      <c r="D259" s="9"/>
      <c r="E259" s="9"/>
      <c r="F259" s="9"/>
      <c r="G259" s="9"/>
      <c r="H259" s="9"/>
      <c r="I259" s="9"/>
      <c r="J259" s="10"/>
    </row>
    <row r="260" spans="1:10" x14ac:dyDescent="0.35">
      <c r="A260" s="13" t="s">
        <v>81</v>
      </c>
      <c r="B260" s="9"/>
      <c r="C260" s="9" t="s">
        <v>12</v>
      </c>
      <c r="D260" s="9" t="s">
        <v>13</v>
      </c>
      <c r="E260" s="9" t="s">
        <v>14</v>
      </c>
      <c r="F260" s="9" t="s">
        <v>24</v>
      </c>
      <c r="G260" s="9" t="s">
        <v>15</v>
      </c>
      <c r="H260" s="9"/>
      <c r="I260" s="9"/>
      <c r="J260" s="10"/>
    </row>
    <row r="261" spans="1:10" x14ac:dyDescent="0.35">
      <c r="A261" s="8" t="s">
        <v>190</v>
      </c>
      <c r="B261" s="9"/>
      <c r="C261" s="9">
        <v>5.05</v>
      </c>
      <c r="D261" s="9">
        <v>3.5</v>
      </c>
      <c r="E261" s="9">
        <v>2.5</v>
      </c>
      <c r="F261" s="9" t="s">
        <v>191</v>
      </c>
      <c r="G261" s="61">
        <f>(C261)*(D261+E261)*E261</f>
        <v>75.75</v>
      </c>
      <c r="H261" s="9"/>
      <c r="I261" s="9" t="s">
        <v>195</v>
      </c>
      <c r="J261" s="10"/>
    </row>
    <row r="262" spans="1:10" x14ac:dyDescent="0.35">
      <c r="A262" s="8" t="s">
        <v>192</v>
      </c>
      <c r="B262" s="9"/>
      <c r="C262" s="9">
        <v>2.84</v>
      </c>
      <c r="D262" s="9">
        <v>3.5</v>
      </c>
      <c r="E262" s="9">
        <v>3.2</v>
      </c>
      <c r="F262" s="9" t="s">
        <v>191</v>
      </c>
      <c r="G262" s="62">
        <f>(C262)*(D262+E262)*E262</f>
        <v>60.889600000000002</v>
      </c>
      <c r="H262" s="9"/>
      <c r="I262" s="9" t="s">
        <v>195</v>
      </c>
      <c r="J262" s="10"/>
    </row>
    <row r="263" spans="1:10" x14ac:dyDescent="0.35">
      <c r="A263" s="8" t="s">
        <v>193</v>
      </c>
      <c r="B263" s="9"/>
      <c r="C263" s="9">
        <v>3.14</v>
      </c>
      <c r="D263" s="9">
        <v>3.5</v>
      </c>
      <c r="E263" s="9">
        <v>2.5</v>
      </c>
      <c r="F263" s="9" t="s">
        <v>191</v>
      </c>
      <c r="G263" s="62">
        <f>((C263+E263/2)*(D263+E263/2)*E263)</f>
        <v>52.131250000000009</v>
      </c>
      <c r="H263" s="9"/>
      <c r="I263" s="9" t="s">
        <v>197</v>
      </c>
      <c r="J263" s="10"/>
    </row>
    <row r="264" spans="1:10" x14ac:dyDescent="0.35">
      <c r="A264" s="8" t="s">
        <v>194</v>
      </c>
      <c r="B264" s="9"/>
      <c r="C264" s="9">
        <v>5.2519999999999998</v>
      </c>
      <c r="D264" s="9">
        <v>3.9</v>
      </c>
      <c r="E264" s="9">
        <v>2.62</v>
      </c>
      <c r="F264" s="9" t="s">
        <v>191</v>
      </c>
      <c r="G264" s="63">
        <f>(C264)*(D264+E264)*E264+(D264*E264/2)*E264</f>
        <v>103.1023448</v>
      </c>
      <c r="H264" s="9"/>
      <c r="I264" s="9" t="s">
        <v>196</v>
      </c>
      <c r="J264" s="10"/>
    </row>
    <row r="265" spans="1:10" x14ac:dyDescent="0.35">
      <c r="A265" s="8"/>
      <c r="B265" s="9"/>
      <c r="C265" s="9"/>
      <c r="D265" s="9"/>
      <c r="E265" s="9"/>
      <c r="F265" s="9"/>
      <c r="G265" s="34">
        <f>SUM(G261:G264)</f>
        <v>291.87319479999996</v>
      </c>
      <c r="H265" s="9"/>
      <c r="I265" s="9"/>
      <c r="J265" s="10"/>
    </row>
    <row r="266" spans="1:10" x14ac:dyDescent="0.35">
      <c r="A266" s="13" t="s">
        <v>198</v>
      </c>
      <c r="B266" s="9"/>
      <c r="C266" s="9" t="s">
        <v>12</v>
      </c>
      <c r="D266" s="9" t="s">
        <v>13</v>
      </c>
      <c r="E266" s="9" t="s">
        <v>14</v>
      </c>
      <c r="F266" s="9" t="s">
        <v>15</v>
      </c>
      <c r="G266" s="9"/>
      <c r="H266" s="9"/>
      <c r="I266" s="9"/>
      <c r="J266" s="10"/>
    </row>
    <row r="267" spans="1:10" x14ac:dyDescent="0.35">
      <c r="A267" s="8" t="s">
        <v>199</v>
      </c>
      <c r="B267" s="9"/>
      <c r="C267" s="9">
        <v>4.2</v>
      </c>
      <c r="D267" s="9">
        <v>2.2000000000000002</v>
      </c>
      <c r="E267" s="9">
        <v>2.25</v>
      </c>
      <c r="F267" s="61">
        <f>C267*D267*E267</f>
        <v>20.790000000000006</v>
      </c>
      <c r="G267" s="9"/>
      <c r="H267" s="9"/>
      <c r="I267" s="9"/>
      <c r="J267" s="10"/>
    </row>
    <row r="268" spans="1:10" x14ac:dyDescent="0.35">
      <c r="A268" s="8" t="s">
        <v>200</v>
      </c>
      <c r="B268" s="9"/>
      <c r="C268" s="9">
        <v>2.95</v>
      </c>
      <c r="D268" s="9">
        <v>2.5</v>
      </c>
      <c r="E268" s="9">
        <v>2.95</v>
      </c>
      <c r="F268" s="62">
        <f t="shared" ref="F268:F270" si="3">C268*D268*E268</f>
        <v>21.756250000000001</v>
      </c>
      <c r="G268" s="9"/>
      <c r="H268" s="9"/>
      <c r="I268" s="9"/>
      <c r="J268" s="10"/>
    </row>
    <row r="269" spans="1:10" x14ac:dyDescent="0.35">
      <c r="A269" s="8" t="s">
        <v>201</v>
      </c>
      <c r="B269" s="9"/>
      <c r="C269" s="9">
        <v>3.14</v>
      </c>
      <c r="D269" s="9">
        <v>2.5</v>
      </c>
      <c r="E269" s="9">
        <v>2.37</v>
      </c>
      <c r="F269" s="62">
        <f t="shared" si="3"/>
        <v>18.604500000000002</v>
      </c>
      <c r="G269" s="9"/>
      <c r="H269" s="9"/>
      <c r="I269" s="9"/>
      <c r="J269" s="10"/>
    </row>
    <row r="270" spans="1:10" x14ac:dyDescent="0.35">
      <c r="A270" s="8" t="s">
        <v>202</v>
      </c>
      <c r="B270" s="9"/>
      <c r="C270" s="9">
        <v>5.2519999999999998</v>
      </c>
      <c r="D270" s="9">
        <v>2.9</v>
      </c>
      <c r="E270" s="9">
        <v>2.37</v>
      </c>
      <c r="F270" s="62">
        <f t="shared" si="3"/>
        <v>36.096995999999997</v>
      </c>
      <c r="G270" s="9"/>
      <c r="H270" s="9"/>
      <c r="I270" s="9"/>
      <c r="J270" s="10"/>
    </row>
    <row r="271" spans="1:10" x14ac:dyDescent="0.35">
      <c r="A271" s="8"/>
      <c r="B271" s="9"/>
      <c r="C271" s="9" t="s">
        <v>115</v>
      </c>
      <c r="D271" s="9" t="s">
        <v>206</v>
      </c>
      <c r="E271" s="9"/>
      <c r="F271" s="62"/>
      <c r="G271" s="9"/>
      <c r="H271" s="9"/>
      <c r="I271" s="9"/>
      <c r="J271" s="10"/>
    </row>
    <row r="272" spans="1:10" x14ac:dyDescent="0.35">
      <c r="A272" s="8" t="s">
        <v>205</v>
      </c>
      <c r="B272" s="9"/>
      <c r="C272" s="9">
        <v>0.8</v>
      </c>
      <c r="D272" s="9">
        <v>0.85</v>
      </c>
      <c r="E272" s="9">
        <v>2</v>
      </c>
      <c r="F272" s="63">
        <f>3.141/4*C272*C272*D272*E272</f>
        <v>0.85435200000000022</v>
      </c>
      <c r="G272" s="9"/>
      <c r="H272" s="9"/>
      <c r="I272" s="9"/>
      <c r="J272" s="10"/>
    </row>
    <row r="273" spans="1:10" x14ac:dyDescent="0.35">
      <c r="A273" s="8" t="s">
        <v>203</v>
      </c>
      <c r="B273" s="9" t="s">
        <v>204</v>
      </c>
      <c r="C273" s="9"/>
      <c r="D273" s="9"/>
      <c r="E273" s="9"/>
      <c r="F273" s="33">
        <f>SUM(F267:F272)</f>
        <v>98.102098000000012</v>
      </c>
      <c r="G273" s="9"/>
      <c r="H273" s="9"/>
      <c r="I273" s="9"/>
      <c r="J273" s="10"/>
    </row>
    <row r="274" spans="1:10" x14ac:dyDescent="0.35">
      <c r="A274" s="8"/>
      <c r="B274" s="9"/>
      <c r="C274" s="9"/>
      <c r="D274" s="9"/>
      <c r="E274" s="9"/>
      <c r="F274" s="9"/>
      <c r="G274" s="9"/>
      <c r="H274" s="9"/>
      <c r="I274" s="9"/>
      <c r="J274" s="10"/>
    </row>
    <row r="275" spans="1:10" x14ac:dyDescent="0.35">
      <c r="A275" s="14" t="s">
        <v>207</v>
      </c>
      <c r="B275" s="15"/>
      <c r="C275" s="15"/>
      <c r="D275" s="15"/>
      <c r="E275" s="15"/>
      <c r="F275" s="71">
        <f>G265-F273</f>
        <v>193.77109679999995</v>
      </c>
      <c r="G275" s="15"/>
      <c r="H275" s="15"/>
      <c r="I275" s="15"/>
      <c r="J275" s="18"/>
    </row>
    <row r="277" spans="1:10" x14ac:dyDescent="0.35">
      <c r="A277" s="1" t="s">
        <v>260</v>
      </c>
      <c r="B277" t="s">
        <v>268</v>
      </c>
      <c r="C277" t="s">
        <v>129</v>
      </c>
      <c r="D277" t="s">
        <v>264</v>
      </c>
      <c r="E277" t="s">
        <v>267</v>
      </c>
      <c r="F277" t="s">
        <v>266</v>
      </c>
    </row>
    <row r="278" spans="1:10" x14ac:dyDescent="0.35">
      <c r="A278" t="s">
        <v>261</v>
      </c>
      <c r="B278">
        <f>0.3*3.425*1.05</f>
        <v>1.0788749999999998</v>
      </c>
      <c r="C278">
        <f>2*(0.3+3.425)*1.05</f>
        <v>7.8224999999999998</v>
      </c>
      <c r="D278">
        <f>0.6*3.725*0.9</f>
        <v>2.0114999999999998</v>
      </c>
      <c r="E278">
        <f>D278-B278</f>
        <v>0.93262500000000004</v>
      </c>
      <c r="F278">
        <f>D278-E278</f>
        <v>1.0788749999999998</v>
      </c>
    </row>
    <row r="279" spans="1:10" x14ac:dyDescent="0.35">
      <c r="A279" t="s">
        <v>262</v>
      </c>
      <c r="B279">
        <f>1.2*1.2*1.05</f>
        <v>1.512</v>
      </c>
      <c r="C279">
        <f>4*1.2*1.05</f>
        <v>5.04</v>
      </c>
      <c r="D279">
        <f>1.5*1.5*0.9</f>
        <v>2.0249999999999999</v>
      </c>
      <c r="E279">
        <f t="shared" ref="E279:E280" si="4">D279-B279</f>
        <v>0.5129999999999999</v>
      </c>
      <c r="F279">
        <f t="shared" ref="F279:F280" si="5">D279-E279</f>
        <v>1.512</v>
      </c>
    </row>
    <row r="280" spans="1:10" x14ac:dyDescent="0.35">
      <c r="A280" t="s">
        <v>263</v>
      </c>
      <c r="B280">
        <f>4.1*0.2*0.9</f>
        <v>0.73799999999999999</v>
      </c>
      <c r="C280">
        <f>2*(4.1+0.2)*0.9</f>
        <v>7.74</v>
      </c>
      <c r="D280">
        <f>4.5*0.7*0.9</f>
        <v>2.835</v>
      </c>
      <c r="E280">
        <f t="shared" si="4"/>
        <v>2.097</v>
      </c>
      <c r="F280">
        <f t="shared" si="5"/>
        <v>0.73799999999999999</v>
      </c>
    </row>
    <row r="281" spans="1:10" x14ac:dyDescent="0.35">
      <c r="B281" s="1">
        <f>SUM(B278:B280)</f>
        <v>3.3288749999999996</v>
      </c>
      <c r="C281" s="1">
        <f>SUM(C278:C280)</f>
        <v>20.602499999999999</v>
      </c>
      <c r="D281" s="1">
        <f>SUM(D278:D280)</f>
        <v>6.8715000000000002</v>
      </c>
      <c r="E281" s="1">
        <f t="shared" ref="E281:F281" si="6">SUM(E278:E280)</f>
        <v>3.5426250000000001</v>
      </c>
      <c r="F281" s="1">
        <f t="shared" si="6"/>
        <v>3.3288749999999996</v>
      </c>
    </row>
    <row r="282" spans="1:10" x14ac:dyDescent="0.35">
      <c r="A282" s="1" t="s">
        <v>265</v>
      </c>
    </row>
    <row r="283" spans="1:10" x14ac:dyDescent="0.35">
      <c r="A283" t="s">
        <v>274</v>
      </c>
      <c r="B283">
        <f>1.2*2.4*0.075</f>
        <v>0.216</v>
      </c>
    </row>
    <row r="285" spans="1:10" x14ac:dyDescent="0.35">
      <c r="A285" s="1" t="s">
        <v>210</v>
      </c>
    </row>
    <row r="286" spans="1:10" x14ac:dyDescent="0.35">
      <c r="A286" t="s">
        <v>208</v>
      </c>
      <c r="C286" s="4">
        <f>F6+F47+F78+F139</f>
        <v>13.33839</v>
      </c>
      <c r="D286" t="s">
        <v>2</v>
      </c>
    </row>
    <row r="287" spans="1:10" x14ac:dyDescent="0.35">
      <c r="A287" t="s">
        <v>7</v>
      </c>
      <c r="B287" s="23" t="s">
        <v>61</v>
      </c>
      <c r="C287" s="4">
        <f>F7+F79+F142</f>
        <v>17.347874999999998</v>
      </c>
      <c r="D287" t="s">
        <v>2</v>
      </c>
    </row>
    <row r="288" spans="1:10" x14ac:dyDescent="0.35">
      <c r="A288" t="s">
        <v>270</v>
      </c>
      <c r="B288" s="23" t="s">
        <v>32</v>
      </c>
      <c r="C288" s="4">
        <f>F126</f>
        <v>325.12</v>
      </c>
      <c r="D288" t="s">
        <v>10</v>
      </c>
    </row>
    <row r="289" spans="1:10" x14ac:dyDescent="0.35">
      <c r="A289" s="72" t="s">
        <v>227</v>
      </c>
      <c r="C289" s="4">
        <f>J126</f>
        <v>64</v>
      </c>
      <c r="D289" t="s">
        <v>8</v>
      </c>
    </row>
    <row r="290" spans="1:10" x14ac:dyDescent="0.35">
      <c r="A290" s="72" t="s">
        <v>256</v>
      </c>
      <c r="C290" s="4">
        <f>F129</f>
        <v>50.4</v>
      </c>
      <c r="D290" t="s">
        <v>16</v>
      </c>
    </row>
    <row r="291" spans="1:10" x14ac:dyDescent="0.35">
      <c r="A291" s="79" t="s">
        <v>279</v>
      </c>
      <c r="C291" s="4">
        <f>F37+F258</f>
        <v>181.65100000000001</v>
      </c>
      <c r="D291" t="s">
        <v>10</v>
      </c>
    </row>
    <row r="292" spans="1:10" x14ac:dyDescent="0.35">
      <c r="A292" s="79" t="s">
        <v>259</v>
      </c>
      <c r="C292" s="4">
        <f>F33+F122+F252</f>
        <v>20.421300000000002</v>
      </c>
      <c r="D292" t="s">
        <v>10</v>
      </c>
      <c r="J292">
        <f>640/24</f>
        <v>26.666666666666668</v>
      </c>
    </row>
    <row r="293" spans="1:10" x14ac:dyDescent="0.35">
      <c r="A293" t="s">
        <v>177</v>
      </c>
      <c r="B293" t="s">
        <v>237</v>
      </c>
      <c r="C293" s="4">
        <f>F31+F63+F121+F248</f>
        <v>533.19335249999995</v>
      </c>
      <c r="D293" t="s">
        <v>10</v>
      </c>
    </row>
    <row r="294" spans="1:10" x14ac:dyDescent="0.35">
      <c r="A294" t="s">
        <v>187</v>
      </c>
      <c r="B294" t="s">
        <v>237</v>
      </c>
      <c r="C294" s="4">
        <f>F32+F117+F249</f>
        <v>43.935599999999994</v>
      </c>
      <c r="D294" t="s">
        <v>10</v>
      </c>
      <c r="E294" s="4"/>
    </row>
    <row r="295" spans="1:10" x14ac:dyDescent="0.35">
      <c r="A295" t="s">
        <v>271</v>
      </c>
      <c r="C295" s="4">
        <f>C281</f>
        <v>20.602499999999999</v>
      </c>
      <c r="D295" t="s">
        <v>10</v>
      </c>
      <c r="E295" s="4"/>
    </row>
    <row r="296" spans="1:10" x14ac:dyDescent="0.35">
      <c r="A296" t="s">
        <v>236</v>
      </c>
      <c r="B296" s="9" t="s">
        <v>29</v>
      </c>
      <c r="C296" s="4">
        <f>F11+F52+F89+F164</f>
        <v>115.70908474999999</v>
      </c>
      <c r="D296" t="s">
        <v>2</v>
      </c>
    </row>
    <row r="297" spans="1:10" x14ac:dyDescent="0.35">
      <c r="A297" t="s">
        <v>241</v>
      </c>
      <c r="B297" s="32" t="s">
        <v>242</v>
      </c>
      <c r="C297" s="4">
        <v>11.362</v>
      </c>
      <c r="D297" t="s">
        <v>243</v>
      </c>
      <c r="E297" t="s">
        <v>244</v>
      </c>
    </row>
    <row r="298" spans="1:10" x14ac:dyDescent="0.35">
      <c r="A298" t="s">
        <v>219</v>
      </c>
      <c r="B298" s="23" t="s">
        <v>238</v>
      </c>
      <c r="C298" s="4">
        <f>F12+G92+F180</f>
        <v>11.758636000000001</v>
      </c>
      <c r="D298" t="s">
        <v>2</v>
      </c>
    </row>
    <row r="299" spans="1:10" x14ac:dyDescent="0.35">
      <c r="A299" t="s">
        <v>212</v>
      </c>
      <c r="C299" s="4">
        <f>F68</f>
        <v>2.5</v>
      </c>
      <c r="D299" t="s">
        <v>16</v>
      </c>
    </row>
    <row r="300" spans="1:10" x14ac:dyDescent="0.35">
      <c r="A300" t="s">
        <v>209</v>
      </c>
      <c r="C300" s="4">
        <f>F55+F57+F59+F106+F109+F110+F112+F113+F188+F213</f>
        <v>290.91249749999997</v>
      </c>
      <c r="D300" t="s">
        <v>10</v>
      </c>
    </row>
    <row r="301" spans="1:10" x14ac:dyDescent="0.35">
      <c r="A301" t="s">
        <v>254</v>
      </c>
      <c r="B301" t="s">
        <v>239</v>
      </c>
      <c r="C301" s="4"/>
    </row>
    <row r="302" spans="1:10" x14ac:dyDescent="0.35">
      <c r="A302" t="s">
        <v>245</v>
      </c>
      <c r="B302" t="s">
        <v>33</v>
      </c>
      <c r="C302" s="4">
        <f>F27+F60+F106+F111+F114+F198+F238</f>
        <v>351.242255</v>
      </c>
      <c r="D302" t="s">
        <v>10</v>
      </c>
    </row>
    <row r="303" spans="1:10" x14ac:dyDescent="0.35">
      <c r="A303" t="s">
        <v>246</v>
      </c>
      <c r="B303" t="s">
        <v>239</v>
      </c>
      <c r="C303" s="4">
        <f>F28+G58+G108+G238</f>
        <v>44.711759999999998</v>
      </c>
      <c r="D303" t="s">
        <v>10</v>
      </c>
    </row>
    <row r="304" spans="1:10" ht="29" x14ac:dyDescent="0.35">
      <c r="B304" s="73" t="s">
        <v>240</v>
      </c>
      <c r="C304" s="4">
        <f>C302-C303</f>
        <v>306.53049499999997</v>
      </c>
      <c r="D304" t="s">
        <v>10</v>
      </c>
    </row>
    <row r="305" spans="1:10" x14ac:dyDescent="0.35">
      <c r="I305" s="51"/>
      <c r="J305" s="51"/>
    </row>
    <row r="306" spans="1:10" x14ac:dyDescent="0.35">
      <c r="A306" s="1" t="s">
        <v>257</v>
      </c>
      <c r="C306" s="4"/>
      <c r="E306" t="s">
        <v>12</v>
      </c>
      <c r="F306" t="s">
        <v>13</v>
      </c>
      <c r="G306" t="s">
        <v>14</v>
      </c>
      <c r="H306" t="s">
        <v>64</v>
      </c>
      <c r="I306" s="51" t="s">
        <v>15</v>
      </c>
      <c r="J306" s="51" t="s">
        <v>20</v>
      </c>
    </row>
    <row r="307" spans="1:10" x14ac:dyDescent="0.35">
      <c r="A307" s="68" t="s">
        <v>211</v>
      </c>
      <c r="C307" s="4"/>
      <c r="D307" t="s">
        <v>226</v>
      </c>
      <c r="E307">
        <v>1.5</v>
      </c>
      <c r="F307">
        <v>0.4</v>
      </c>
      <c r="G307">
        <v>0.1</v>
      </c>
      <c r="H307">
        <v>3</v>
      </c>
      <c r="I307">
        <f>E307*F307*G307</f>
        <v>6.0000000000000012E-2</v>
      </c>
      <c r="J307">
        <f>E307*F307</f>
        <v>0.60000000000000009</v>
      </c>
    </row>
    <row r="308" spans="1:10" x14ac:dyDescent="0.35">
      <c r="A308" s="68"/>
      <c r="C308" s="4"/>
    </row>
    <row r="309" spans="1:10" x14ac:dyDescent="0.35">
      <c r="A309" t="s">
        <v>213</v>
      </c>
      <c r="C309" s="4">
        <f>G41+G72+G265</f>
        <v>392.87743961249998</v>
      </c>
      <c r="D309" t="s">
        <v>2</v>
      </c>
    </row>
    <row r="310" spans="1:10" x14ac:dyDescent="0.35">
      <c r="A310" t="s">
        <v>269</v>
      </c>
      <c r="C310" s="4">
        <f>D281</f>
        <v>6.8715000000000002</v>
      </c>
      <c r="D310" t="s">
        <v>2</v>
      </c>
    </row>
    <row r="311" spans="1:10" x14ac:dyDescent="0.35">
      <c r="A311" t="s">
        <v>214</v>
      </c>
      <c r="C311" s="4">
        <f>G133</f>
        <v>365.11199999999997</v>
      </c>
      <c r="D311" t="s">
        <v>2</v>
      </c>
      <c r="E311" t="s">
        <v>217</v>
      </c>
    </row>
    <row r="312" spans="1:10" x14ac:dyDescent="0.35">
      <c r="A312" t="s">
        <v>215</v>
      </c>
      <c r="C312" s="4">
        <f>G42+G73+F275</f>
        <v>251.47804161249996</v>
      </c>
      <c r="D312" t="s">
        <v>2</v>
      </c>
    </row>
    <row r="313" spans="1:10" x14ac:dyDescent="0.35">
      <c r="A313" t="s">
        <v>216</v>
      </c>
      <c r="C313">
        <f>G134</f>
        <v>232.40399999999997</v>
      </c>
      <c r="D313" t="s">
        <v>2</v>
      </c>
      <c r="E313" t="s">
        <v>218</v>
      </c>
    </row>
    <row r="314" spans="1:10" x14ac:dyDescent="0.35">
      <c r="A314" t="s">
        <v>272</v>
      </c>
      <c r="C314">
        <f>E281</f>
        <v>3.5426250000000001</v>
      </c>
      <c r="D314" t="s">
        <v>2</v>
      </c>
    </row>
    <row r="315" spans="1:10" x14ac:dyDescent="0.35">
      <c r="A315" t="s">
        <v>273</v>
      </c>
      <c r="C315" s="4">
        <f>C309-C312+C310-C314+C311-C313</f>
        <v>277.43627300000003</v>
      </c>
      <c r="D315" t="s">
        <v>2</v>
      </c>
    </row>
    <row r="317" spans="1:10" x14ac:dyDescent="0.35">
      <c r="A317" t="s">
        <v>228</v>
      </c>
      <c r="B317" t="s">
        <v>235</v>
      </c>
      <c r="C317" s="4">
        <f>F246</f>
        <v>14.652400000000002</v>
      </c>
      <c r="D317" t="s">
        <v>10</v>
      </c>
    </row>
    <row r="318" spans="1:10" ht="29" x14ac:dyDescent="0.35">
      <c r="B318" s="73" t="s">
        <v>255</v>
      </c>
      <c r="C318" s="4">
        <f>F95+F246</f>
        <v>17.122400000000003</v>
      </c>
      <c r="D318" t="s">
        <v>10</v>
      </c>
    </row>
    <row r="321" spans="1:4" x14ac:dyDescent="0.35">
      <c r="A321" s="1" t="s">
        <v>225</v>
      </c>
    </row>
    <row r="322" spans="1:4" x14ac:dyDescent="0.35">
      <c r="A322" t="s">
        <v>220</v>
      </c>
      <c r="B322" t="s">
        <v>221</v>
      </c>
      <c r="C322" t="s">
        <v>222</v>
      </c>
      <c r="D322" t="s">
        <v>223</v>
      </c>
    </row>
    <row r="324" spans="1:4" x14ac:dyDescent="0.35">
      <c r="A324" s="52" t="s">
        <v>224</v>
      </c>
    </row>
    <row r="325" spans="1:4" x14ac:dyDescent="0.35">
      <c r="A325" s="86" t="s">
        <v>280</v>
      </c>
    </row>
  </sheetData>
  <mergeCells count="2">
    <mergeCell ref="I105:J105"/>
    <mergeCell ref="G105:H105"/>
  </mergeCells>
  <pageMargins left="0.25" right="0.25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Aquion - Lubomír Macek</dc:creator>
  <cp:lastModifiedBy>Aquion - Lubomír Macek</cp:lastModifiedBy>
  <cp:lastPrinted>2018-08-29T10:24:38Z</cp:lastPrinted>
  <dcterms:created xsi:type="dcterms:W3CDTF">2018-07-19T08:28:23Z</dcterms:created>
  <dcterms:modified xsi:type="dcterms:W3CDTF">2018-08-29T10:25:00Z</dcterms:modified>
</cp:coreProperties>
</file>